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comments+xml" PartName="/xl/comments8.xml"/>
  <Override ContentType="application/vnd.openxmlformats-officedocument.spreadsheetml.comments+xml" PartName="/xl/comments7.xml"/>
  <Override ContentType="application/vnd.openxmlformats-officedocument.spreadsheetml.comments+xml" PartName="/xl/comments9.xml"/>
  <Override ContentType="application/vnd.openxmlformats-officedocument.spreadsheetml.comments+xml" PartName="/xl/comments11.xml"/>
  <Override ContentType="application/vnd.openxmlformats-officedocument.spreadsheetml.comments+xml" PartName="/xl/comments10.xml"/>
  <Override ContentType="application/vnd.openxmlformats-officedocument.spreadsheetml.comments+xml" PartName="/xl/comments12.xml"/>
  <Override ContentType="application/vnd.openxmlformats-officedocument.spreadsheetml.comments+xml" PartName="/xl/comments5.xml"/>
  <Override ContentType="application/vnd.openxmlformats-officedocument.spreadsheetml.comments+xml" PartName="/xl/comments6.xml"/>
  <Override ContentType="application/vnd.openxmlformats-officedocument.spreadsheetml.comments+xml" PartName="/xl/comments1.xml"/>
  <Override ContentType="application/vnd.openxmlformats-officedocument.spreadsheetml.comments+xml" PartName="/xl/comments4.xml"/>
  <Override ContentType="application/vnd.openxmlformats-officedocument.spreadsheetml.comments+xml" PartName="/xl/comments3.xml"/>
  <Override ContentType="application/vnd.openxmlformats-officedocument.spreadsheetml.comments+xml" PartName="/xl/comments2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hidden" name="Settings" sheetId="1" r:id="rId3"/>
    <sheet state="hidden" name="Interest" sheetId="2" r:id="rId4"/>
    <sheet state="visible" name="Account" sheetId="3" r:id="rId5"/>
    <sheet state="visible" name="Result" sheetId="4" r:id="rId6"/>
    <sheet state="hidden" name="Alert" sheetId="5" r:id="rId7"/>
    <sheet state="hidden" name="DateTime" sheetId="6" r:id="rId8"/>
    <sheet state="visible" name="Dashboard" sheetId="7" r:id="rId9"/>
    <sheet state="visible" name="Investment" sheetId="8" r:id="rId10"/>
    <sheet state="visible" name="Historic" sheetId="9" r:id="rId11"/>
    <sheet state="visible" name="Evolution" sheetId="10" r:id="rId12"/>
    <sheet state="visible" name="Allocation" sheetId="11" r:id="rId13"/>
    <sheet state="visible" name="AllocationHistoric" sheetId="12" r:id="rId14"/>
    <sheet state="visible" name="Expenses" sheetId="13" r:id="rId15"/>
    <sheet state="visible" name="ExpensesHistoric" sheetId="14" r:id="rId16"/>
    <sheet state="visible" name="BankAccount" sheetId="15" r:id="rId17"/>
    <sheet state="visible" name="Budget" sheetId="16" r:id="rId18"/>
    <sheet state="visible" name="Price" sheetId="17" r:id="rId19"/>
    <sheet state="visible" name="Client" sheetId="18" r:id="rId20"/>
    <sheet state="hidden" name="Boubou" sheetId="19" r:id="rId21"/>
  </sheets>
  <definedNames>
    <definedName hidden="1" localSheetId="3" name="_xlnm._FilterDatabase">Result!$A$1:$H$510</definedName>
    <definedName hidden="1" localSheetId="13" name="_xlnm._FilterDatabase">ExpensesHistoric!$A$1:$D$326</definedName>
    <definedName hidden="1" localSheetId="8" name="_xlnm._FilterDatabase">Historic!$A$1:$J$679</definedName>
    <definedName hidden="1" localSheetId="2" name="_xlnm._FilterDatabase">Account!$A$1:$AK$575</definedName>
  </definedNames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6">
      <text>
        <t xml:space="preserve">"Total portefeuille" DEGIRO</t>
      </text>
    </comment>
    <comment authorId="0" ref="B16">
      <text>
        <t xml:space="preserve">"Valeur des titres" DEGIRO</t>
      </text>
    </comment>
    <comment authorId="0" ref="C16">
      <text>
        <t xml:space="preserve">"Fond Monétaires EUR" DEGIRO</t>
      </text>
    </comment>
    <comment authorId="0" ref="D16">
      <text>
        <t xml:space="preserve">"Variation journalière" DEGIRO</t>
      </text>
    </comment>
    <comment authorId="0" ref="E16">
      <text>
        <t xml:space="preserve">"Variation cumulée" DEGIRO</t>
      </text>
    </comment>
    <comment authorId="0" ref="F16">
      <text>
        <t xml:space="preserve">"Espace libre" DEGIRO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1">
      <text>
        <t xml:space="preserve">Current portfolio cash from Dashboard</t>
      </text>
    </comment>
    <comment authorId="0" ref="D1">
      <text>
        <t xml:space="preserve">Interest rate (EONIA+1.25%) from Dashboard</t>
      </text>
    </comment>
  </commentList>
</comments>
</file>

<file path=xl/comments3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2">
      <text>
        <t xml:space="preserve">Stock to rebalance</t>
      </text>
    </comment>
    <comment authorId="0" ref="A3">
      <text>
        <t xml:space="preserve">Value not updated</t>
      </text>
    </comment>
    <comment authorId="0" ref="A4">
      <text>
        <t xml:space="preserve">Temporary row to reload</t>
      </text>
    </comment>
    <comment authorId="0" ref="A5">
      <text>
        <t xml:space="preserve">New Allocation to set</t>
      </text>
    </comment>
  </commentList>
</comments>
</file>

<file path=xl/comments4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11">
      <text>
        <t xml:space="preserve">If positive, independence have been reached !!</t>
      </text>
    </comment>
    <comment authorId="0" ref="B12">
      <text>
        <t xml:space="preserve">If positive, independence have been reached !!</t>
      </text>
    </comment>
    <comment authorId="0" ref="B28">
      <text>
        <t xml:space="preserve">Sum own by / due to others</t>
      </text>
    </comment>
    <comment authorId="0" ref="A34">
      <text>
        <t xml:space="preserve">"Valeur des titres" DEGIRO</t>
      </text>
    </comment>
    <comment authorId="0" ref="A35">
      <text>
        <t xml:space="preserve">"Fond Monétaires EUR" DEGIRO</t>
      </text>
    </comment>
    <comment authorId="0" ref="A36">
      <text>
        <t xml:space="preserve">"Total portefeuille" DEGIRO</t>
      </text>
    </comment>
    <comment authorId="0" ref="A37">
      <text>
        <t xml:space="preserve">"Variation cumulée" DEGIRO</t>
      </text>
    </comment>
    <comment authorId="0" ref="B47">
      <text>
        <t xml:space="preserve">Earn / Loss from past performances (without current portfolio)</t>
      </text>
    </comment>
    <comment authorId="0" ref="A50">
      <text>
        <t xml:space="preserve">"Espace libre" DEGIRO</t>
      </text>
    </comment>
    <comment authorId="0" ref="A56">
      <text>
        <t xml:space="preserve">EONIA+1.25%</t>
      </text>
    </comment>
    <comment authorId="0" ref="A58">
      <text>
        <t xml:space="preserve">Money left that can be invested</t>
      </text>
    </comment>
    <comment authorId="0" ref="B67">
      <text>
        <t xml:space="preserve">WARNING !  Should always be the one before last (Dirty hack)</t>
      </text>
    </comment>
  </commentList>
</comments>
</file>

<file path=xl/comments5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Stock type.</t>
      </text>
    </comment>
    <comment authorId="0" ref="B1">
      <text>
        <t xml:space="preserve">Target distribution.</t>
      </text>
    </comment>
    <comment authorId="0" ref="C1">
      <text>
        <t xml:space="preserve">Has free transaction fee offered by DEGIRO (list available on https://www.degiro.fr/data/pdf/fr/S%C3%A9lection%20ETF%20gratuits.pdf)</t>
      </text>
    </comment>
    <comment authorId="0" ref="D1">
      <text>
        <t xml:space="preserve">Investing.com quote webage link</t>
      </text>
    </comment>
    <comment authorId="0" ref="E1">
      <text>
        <t xml:space="preserve">Webpage title</t>
      </text>
    </comment>
    <comment authorId="0" ref="F1">
      <text>
        <t xml:space="preserve">ISIN code.</t>
      </text>
    </comment>
    <comment authorId="0" ref="G1">
      <text>
        <t xml:space="preserve">Stock code.</t>
      </text>
    </comment>
    <comment authorId="0" ref="H1">
      <text>
        <t xml:space="preserve">Stock name.</t>
      </text>
    </comment>
    <comment authorId="0" ref="J1">
      <text>
        <t xml:space="preserve">Market code.</t>
      </text>
    </comment>
    <comment authorId="0" ref="K1">
      <text>
        <t xml:space="preserve">Number of stock shares bought.</t>
      </text>
    </comment>
    <comment authorId="0" ref="L1">
      <text>
        <t xml:space="preserve">Hack : main formula to get price values from various websites</t>
      </text>
    </comment>
    <comment authorId="0" ref="M1">
      <text>
        <t xml:space="preserve">Cached value of the current stock price</t>
      </text>
    </comment>
    <comment authorId="0" ref="N1">
      <text>
        <t xml:space="preserve">Bought stock value.</t>
      </text>
    </comment>
    <comment authorId="0" ref="O1">
      <text>
        <t xml:space="preserve">Current stock value.</t>
      </text>
    </comment>
    <comment authorId="0" ref="P1">
      <text>
        <t xml:space="preserve">Estimated amount to invest.</t>
      </text>
    </comment>
    <comment authorId="0" ref="Q1">
      <text>
        <t xml:space="preserve">Amount of trade for the current month.</t>
      </text>
    </comment>
    <comment authorId="0" ref="R1">
      <text>
        <t xml:space="preserve">Rebalance order from 0 to end.</t>
      </text>
    </comment>
    <comment authorId="0" ref="S1">
      <text>
        <t xml:space="preserve">Number of stock to buy/sell to rebalance the portfolio.</t>
      </text>
    </comment>
    <comment authorId="0" ref="T1">
      <text>
        <t xml:space="preserve">Stock amount to buy/sell to rebalance the portfolio.</t>
      </text>
    </comment>
    <comment authorId="0" ref="U1">
      <text>
        <t xml:space="preserve">Amount to add to rebalance to be the closest to target rebalance total amount</t>
      </text>
    </comment>
    <comment authorId="0" ref="W1">
      <text>
        <t xml:space="preserve">3 days tendency.
OLD FORMULAE : =IF(AND($S2&lt;&gt;0,OR(AND($S2&gt;0,$L2&lt;$AI2),AND($S2&lt;0,$L2&gt;$AI2)),OR($S2*$U2&lt;0,($O$7-$N$7)*$AK2&lt;0)),IF(OR(AND(($O$7-$N$7)*$AK2&lt;0,$O$7-$N$7&gt;0,$S2&gt;0),$U2&lt;AVERAGEIFS(INDEX(Evolution!$N:$R,0,ROW()-1),INDEX(Evolution!$N:$R,0,ROW()-1),"&lt;0",INDEX(Evolution!$N:$R,0,ROW()-1),"&gt;-0.03")*2),"BUY",IF(OR(AND(($O$7-$N$7)*$AK2&lt;0,$O$7-$N$7&lt;0,$S2&lt;0),$U2&gt;AVERAGEIFS(INDEX(Evolution!$N:$R,0,ROW()-1),INDEX(Evolution!$N:$R,0,ROW()-1),"&gt;0",INDEX(Evolution!$N:$R,0,ROW()-1),"&lt;0.03")*2),"SELL","MID")),"MID") &amp; " (" &amp; ROUND($U2*100,2) &amp; "%)"</t>
      </text>
    </comment>
    <comment authorId="0" ref="X1">
      <text>
        <t xml:space="preserve">Daily progression.</t>
      </text>
    </comment>
    <comment authorId="0" ref="Y1">
      <text>
        <t xml:space="preserve">Daily progression rate.</t>
      </text>
    </comment>
    <comment authorId="0" ref="Z1">
      <text>
        <t xml:space="preserve">Dividend profit.</t>
      </text>
    </comment>
    <comment authorId="0" ref="AA1">
      <text>
        <t xml:space="preserve">Dividend profit rate.</t>
      </text>
    </comment>
    <comment authorId="0" ref="AB1">
      <text>
        <t xml:space="preserve">Stock profit.</t>
      </text>
    </comment>
    <comment authorId="0" ref="AC1">
      <text>
        <t xml:space="preserve">Stock profit rate.</t>
      </text>
    </comment>
    <comment authorId="0" ref="AD1">
      <text>
        <t xml:space="preserve">Dividend + Stock profit.</t>
      </text>
    </comment>
    <comment authorId="0" ref="AE1">
      <text>
        <t xml:space="preserve">Dividend + Stock profit rate.</t>
      </text>
    </comment>
    <comment authorId="0" ref="AF1">
      <text>
        <t xml:space="preserve">Cost to buy/sell stocks</t>
      </text>
    </comment>
    <comment authorId="0" ref="AG1">
      <text>
        <t xml:space="preserve">Average Price paid for the current stock detained</t>
      </text>
    </comment>
    <comment authorId="0" ref="AH1">
      <text>
        <t xml:space="preserve">Average price for last year</t>
      </text>
    </comment>
    <comment authorId="0" ref="AI1">
      <text>
        <t xml:space="preserve">Difference between price paid and current price (green =current price is lower [BUY], red = current price is higher [SELL])</t>
      </text>
    </comment>
    <comment authorId="0" ref="AJ1">
      <text>
        <t xml:space="preserve">Estimated average profit if the current transaction is made</t>
      </text>
    </comment>
    <comment authorId="0" ref="AK1">
      <text>
        <t xml:space="preserve">Difference between the current and the desired ratio.</t>
      </text>
    </comment>
    <comment authorId="0" ref="AL1">
      <text>
        <t xml:space="preserve">Montly average progress</t>
      </text>
    </comment>
    <comment authorId="0" ref="AM1">
      <text>
        <t xml:space="preserve">Time before the average price match the current price</t>
      </text>
    </comment>
    <comment authorId="0" ref="AN1">
      <text>
        <t xml:space="preserve">Rectification of the price compared to the real one</t>
      </text>
    </comment>
    <comment authorId="0" ref="AO1">
      <text>
        <t xml:space="preserve">Last time price was updated</t>
      </text>
    </comment>
    <comment authorId="0" ref="AP1">
      <text>
        <t xml:space="preserve">When last dividend has been paid</t>
      </text>
    </comment>
    <comment authorId="0" ref="AQ1">
      <text>
        <t xml:space="preserve">When next dividend will be paid</t>
      </text>
    </comment>
    <comment authorId="0" ref="AR1">
      <text>
        <t xml:space="preserve">Number of day (months) before next dividend is paid</t>
      </text>
    </comment>
    <comment authorId="0" ref="AS1">
      <text>
        <t xml:space="preserve">Estimated dividend corresponding to current share owned</t>
      </text>
    </comment>
    <comment authorId="0" ref="AT1">
      <text>
        <t xml:space="preserve">Dividend paid averaged on a month basis</t>
      </text>
    </comment>
    <comment authorId="0" ref="AU1">
      <text>
        <t xml:space="preserve">Average value if stock were costing the average price</t>
      </text>
    </comment>
    <comment authorId="0" ref="AV1">
      <text>
        <t xml:space="preserve">Ratio used to correct dist gap when one or more stock have been bought (very low) and other are waiting to be bought (very high)</t>
      </text>
    </comment>
    <comment authorId="0" ref="AW1">
      <text>
        <t xml:space="preserve">Simplest : stock / number to buy</t>
      </text>
    </comment>
    <comment authorId="0" ref="AX1">
      <text>
        <t xml:space="preserve">Opportunity : use tendency to predict opportunity</t>
      </text>
    </comment>
    <comment authorId="0" ref="S7">
      <text>
        <t xml:space="preserve">Amount left to use for rebalance</t>
      </text>
    </comment>
    <comment authorId="0" ref="U7">
      <text>
        <t xml:space="preserve">Remaining value after rebalancing (used to buy some stocks).</t>
      </text>
    </comment>
    <comment authorId="0" ref="AF7">
      <text>
        <t xml:space="preserve">Trading total cost.</t>
      </text>
    </comment>
    <comment authorId="0" ref="AN7">
      <text>
        <t xml:space="preserve">Use to adjust "Current portfolio stock"</t>
      </text>
    </comment>
    <comment authorId="0" ref="AS7">
      <text>
        <t xml:space="preserve">Dividend left to paid soon (next 15 days)</t>
      </text>
    </comment>
  </commentList>
</comments>
</file>

<file path=xl/comments6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I1">
      <text>
        <t xml:space="preserve">Compared with current stock price</t>
      </text>
    </comment>
    <comment authorId="0" ref="J1">
      <text>
        <t xml:space="preserve">Compared with average stock price (based on 52 weeks)</t>
      </text>
    </comment>
    <comment authorId="0" ref="G185">
      <text>
        <t xml:space="preserve">Use to adjust "Current portfolio cash"</t>
      </text>
    </comment>
  </commentList>
</comments>
</file>

<file path=xl/comments7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G1">
      <text>
        <t xml:space="preserve">Total profit between bought and sell values</t>
      </text>
    </comment>
    <comment authorId="0" ref="H1">
      <text>
        <t xml:space="preserve">Compared with current stock price</t>
      </text>
    </comment>
    <comment authorId="0" ref="I1">
      <text>
        <t xml:space="preserve">Compared with average stock price (based on 52 weeks)</t>
      </text>
    </comment>
    <comment authorId="0" ref="J1">
      <text>
        <t xml:space="preserve">Stock value owned</t>
      </text>
    </comment>
  </commentList>
</comments>
</file>

<file path=xl/comments8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D1">
      <text>
        <t xml:space="preserve">Allocation used</t>
      </text>
    </comment>
    <comment authorId="0" ref="E1">
      <text>
        <t xml:space="preserve">Cash / Allocation</t>
      </text>
    </comment>
    <comment authorId="0" ref="F1">
      <text>
        <t xml:space="preserve">Portfolio + Cash</t>
      </text>
    </comment>
    <comment authorId="0" ref="G1">
      <text>
        <t xml:space="preserve">Allocation / Portfolio</t>
      </text>
    </comment>
    <comment authorId="0" ref="H1">
      <text>
        <t xml:space="preserve">Monthly progress on total value</t>
      </text>
    </comment>
    <comment authorId="0" ref="I1">
      <text>
        <t xml:space="preserve">Interest based on an estimate until real value is taken from the account</t>
      </text>
    </comment>
    <comment authorId="0" ref="J1">
      <text>
        <t xml:space="preserve">Interest / Allocation</t>
      </text>
    </comment>
    <comment authorId="0" ref="K1">
      <text>
        <t xml:space="preserve">Money wasted by not using full allocation</t>
      </text>
    </comment>
    <comment authorId="0" ref="L1">
      <text>
        <t xml:space="preserve">Dividend received during the month</t>
      </text>
    </comment>
    <comment authorId="0" ref="M1">
      <text>
        <t xml:space="preserve">Average monthly income on a year basis.</t>
      </text>
    </comment>
    <comment authorId="0" ref="N1">
      <text>
        <t xml:space="preserve">Monthly progress on average monthly income</t>
      </text>
    </comment>
    <comment authorId="0" ref="O1">
      <text>
        <t xml:space="preserve">Income / Portfolio</t>
      </text>
    </comment>
  </commentList>
</comments>
</file>

<file path=xl/comments9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1">
      <text>
        <t xml:space="preserve">Change here if money is added/removed from account</t>
      </text>
    </comment>
    <comment authorId="0" ref="A2">
      <text>
        <t xml:space="preserve">Courant</t>
      </text>
    </comment>
    <comment authorId="0" ref="A3">
      <text>
        <t xml:space="preserve">Number26</t>
      </text>
    </comment>
  </commentList>
</comments>
</file>

<file path=xl/comments10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4">
      <text>
        <t xml:space="preserve">=Montly rent - Boursorama loan (B3)</t>
      </text>
    </comment>
  </commentList>
</comments>
</file>

<file path=xl/comments1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WARNING : Should be the same as the spreadsheet name with account data historic</t>
      </text>
    </comment>
    <comment authorId="0" ref="B1">
      <text>
        <t xml:space="preserve">Change here if money is added/removed from account</t>
      </text>
    </comment>
    <comment authorId="0" ref="C1">
      <text>
        <t xml:space="preserve">Current year interest</t>
      </text>
    </comment>
    <comment authorId="0" ref="D1">
      <text>
        <t xml:space="preserve">Total amount saved</t>
      </text>
    </comment>
  </commentList>
</comments>
</file>

<file path=xl/comments1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1">
      <text>
        <t xml:space="preserve">Amount on which to calculate interest</t>
      </text>
    </comment>
    <comment authorId="0" ref="C1">
      <text>
        <t xml:space="preserve">Cumulated amount without interest</t>
      </text>
    </comment>
    <comment authorId="0" ref="D1">
      <text>
        <t xml:space="preserve">Amount added/withdrawed by the client</t>
      </text>
    </comment>
    <comment authorId="0" ref="E1">
      <text>
        <t xml:space="preserve">Current rate</t>
      </text>
    </comment>
    <comment authorId="0" ref="F1">
      <text>
        <t xml:space="preserve">Current gain (= Current Value * Rate / 12)</t>
      </text>
    </comment>
    <comment authorId="0" ref="G1">
      <text>
        <t xml:space="preserve">Cumulated gain since the beginning of saving</t>
      </text>
    </comment>
    <comment authorId="0" ref="H1">
      <text>
        <t xml:space="preserve">Total cumulated amount (= Current Value + Gain)</t>
      </text>
    </comment>
  </commentList>
</comments>
</file>

<file path=xl/sharedStrings.xml><?xml version="1.0" encoding="utf-8"?>
<sst xmlns="http://schemas.openxmlformats.org/spreadsheetml/2006/main" count="4808" uniqueCount="1447">
  <si>
    <t>Date</t>
  </si>
  <si>
    <t>Savings</t>
  </si>
  <si>
    <t>Cash balance</t>
  </si>
  <si>
    <t>Currency</t>
  </si>
  <si>
    <t>Cumulated saving</t>
  </si>
  <si>
    <t>Allocated rate</t>
  </si>
  <si>
    <t>Non-allocated rate</t>
  </si>
  <si>
    <t>Day count</t>
  </si>
  <si>
    <t>Savings available</t>
  </si>
  <si>
    <t>Owing</t>
  </si>
  <si>
    <t>Loan</t>
  </si>
  <si>
    <t>Client</t>
  </si>
  <si>
    <t>Expenses</t>
  </si>
  <si>
    <t>Day interest</t>
  </si>
  <si>
    <t>Current expense</t>
  </si>
  <si>
    <t>Allocated</t>
  </si>
  <si>
    <t>Monthly expenses</t>
  </si>
  <si>
    <t xml:space="preserve">Expense gap </t>
  </si>
  <si>
    <t>Monthly payment</t>
  </si>
  <si>
    <t>Monthly interest</t>
  </si>
  <si>
    <t>Account</t>
  </si>
  <si>
    <t>Over allocation</t>
  </si>
  <si>
    <t>Cumulative interest</t>
  </si>
  <si>
    <t>Total Approvisionnement</t>
  </si>
  <si>
    <t>Previous profit</t>
  </si>
  <si>
    <t>Current Approvisionnement</t>
  </si>
  <si>
    <t>Monthly investment progress average</t>
  </si>
  <si>
    <t>Heure</t>
  </si>
  <si>
    <t xml:space="preserve">Date de </t>
  </si>
  <si>
    <t>Produit</t>
  </si>
  <si>
    <t>Code ISIN</t>
  </si>
  <si>
    <t>Description</t>
  </si>
  <si>
    <t>Monthly income progress average</t>
  </si>
  <si>
    <t>Portfolio</t>
  </si>
  <si>
    <t>Current portfolio stock</t>
  </si>
  <si>
    <t>Current portfolio cash</t>
  </si>
  <si>
    <t>Current portfolio value</t>
  </si>
  <si>
    <t>Current portfolio total profit</t>
  </si>
  <si>
    <t>Current portfolio total profit rate</t>
  </si>
  <si>
    <t>Allocations</t>
  </si>
  <si>
    <t>FX</t>
  </si>
  <si>
    <t>Mouvements</t>
  </si>
  <si>
    <t>Current Allocation</t>
  </si>
  <si>
    <t>Solde</t>
  </si>
  <si>
    <t>Margin</t>
  </si>
  <si>
    <t>ID Ordre</t>
  </si>
  <si>
    <t>Next Allocation</t>
  </si>
  <si>
    <t>Current Allocation ratio</t>
  </si>
  <si>
    <t>Interest rate</t>
  </si>
  <si>
    <t>Performances</t>
  </si>
  <si>
    <t>Average profit per transaction</t>
  </si>
  <si>
    <t>Transaction per month</t>
  </si>
  <si>
    <t>Average profit per month</t>
  </si>
  <si>
    <t>Current monthly dividend</t>
  </si>
  <si>
    <t>Total profit per month</t>
  </si>
  <si>
    <t>Total portfolio</t>
  </si>
  <si>
    <t>Stock value</t>
  </si>
  <si>
    <t>Cash Fund</t>
  </si>
  <si>
    <t>Today's result</t>
  </si>
  <si>
    <t>Cumulated result</t>
  </si>
  <si>
    <t>Type</t>
  </si>
  <si>
    <t>Label</t>
  </si>
  <si>
    <t>Transaction</t>
  </si>
  <si>
    <t>Quantity</t>
  </si>
  <si>
    <t>Price</t>
  </si>
  <si>
    <t>Value</t>
  </si>
  <si>
    <t>27-06-2019</t>
  </si>
  <si>
    <t>07:00</t>
  </si>
  <si>
    <t>26-06-2019</t>
  </si>
  <si>
    <t>Operation de change - Crédit</t>
  </si>
  <si>
    <t>EUR</t>
  </si>
  <si>
    <t>3525,59</t>
  </si>
  <si>
    <t>-417636,57</t>
  </si>
  <si>
    <t>Opération de change - Débit</t>
  </si>
  <si>
    <t>USD</t>
  </si>
  <si>
    <t>-4012,65</t>
  </si>
  <si>
    <t>0,00</t>
  </si>
  <si>
    <t>ID</t>
  </si>
  <si>
    <t>15:39</t>
  </si>
  <si>
    <t>Versement de fonds</t>
  </si>
  <si>
    <t>2000,00</t>
  </si>
  <si>
    <t>-421162,16</t>
  </si>
  <si>
    <t>07:48</t>
  </si>
  <si>
    <t>ISHSIV-DL T.BD20+YR DL D</t>
  </si>
  <si>
    <t>IE00BSKRJZ44</t>
  </si>
  <si>
    <t>Dividende</t>
  </si>
  <si>
    <t>4012,65</t>
  </si>
  <si>
    <t>25-06-2019</t>
  </si>
  <si>
    <t>12:22</t>
  </si>
  <si>
    <t>ETFS PHYSICALGOLD</t>
  </si>
  <si>
    <t>JE00B1VS3770</t>
  </si>
  <si>
    <t>Vente 9 ETFS PHYSICALGOLD@119,82 EUR (JE00B1VS3770)</t>
  </si>
  <si>
    <t>1078,38</t>
  </si>
  <si>
    <t>-423162,16</t>
  </si>
  <si>
    <t>6a8c4032-54f6-4f3e-af9e-9fdd80ebd079</t>
  </si>
  <si>
    <t>24-06-2019</t>
  </si>
  <si>
    <t>11:12</t>
  </si>
  <si>
    <t>Vente 9 ETFS PHYSICALGOLD@117,66 EUR (JE00B1VS3770)</t>
  </si>
  <si>
    <t>1058,94</t>
  </si>
  <si>
    <t>-424240,54</t>
  </si>
  <si>
    <t>6dbb4fe0-9a32-4570-88ee-9f4050e00817</t>
  </si>
  <si>
    <t>11:03</t>
  </si>
  <si>
    <t>Vente 16 ETFS PHYSICALGOLD@117,66 EUR (JE00B1VS3770)</t>
  </si>
  <si>
    <t>1882,56</t>
  </si>
  <si>
    <t>-425299,48</t>
  </si>
  <si>
    <t>10d34094-4a65-4643-811e-3e72394817c9</t>
  </si>
  <si>
    <t>10:04</t>
  </si>
  <si>
    <t>ETFS ALL COMMODIT.</t>
  </si>
  <si>
    <t>GB00B15KY989</t>
  </si>
  <si>
    <t>Achat 1 013 ETFS ALL COMMODIT.@7,103 EUR (GB00B15KY989)</t>
  </si>
  <si>
    <t>-7195,34</t>
  </si>
  <si>
    <t>-427182,04</t>
  </si>
  <si>
    <t>e15152ed-fbbf-4e3a-9df8-60c827ef5a00</t>
  </si>
  <si>
    <t>11-06-2019</t>
  </si>
  <si>
    <t>09:50</t>
  </si>
  <si>
    <t>Achat 1 762 ETFS ALL COMMODIT.@6,962 EUR (GB00B15KY989)</t>
  </si>
  <si>
    <t>-12267,04</t>
  </si>
  <si>
    <t>-419986,70</t>
  </si>
  <si>
    <t>c353528e-0a21-4be2-b968-1fb5614bfddb</t>
  </si>
  <si>
    <t>09:42</t>
  </si>
  <si>
    <t>Achat 358 ETFS ALL COMMODIT.@6,962 EUR (GB00B15KY989)</t>
  </si>
  <si>
    <t>-2492,40</t>
  </si>
  <si>
    <t>-407719,66</t>
  </si>
  <si>
    <t>Current value</t>
  </si>
  <si>
    <t>Sent value</t>
  </si>
  <si>
    <t>Sent time</t>
  </si>
  <si>
    <t>Object</t>
  </si>
  <si>
    <t>Subject</t>
  </si>
  <si>
    <t>Achat 160 ETFS ALL COMMODIT.@6,962 EUR (GB00B15KY989)</t>
  </si>
  <si>
    <t>-1113,92</t>
  </si>
  <si>
    <t>-405227,26</t>
  </si>
  <si>
    <t>!!REBALANCE!!</t>
  </si>
  <si>
    <t>$X value(s) in: $APPLINK need to be rebalanced in: $DEGLINK</t>
  </si>
  <si>
    <t>ALERT VALUE UPDATE</t>
  </si>
  <si>
    <t>$X value(s) are not updated since more than 16min ! Check it out in $APPLINK</t>
  </si>
  <si>
    <t>RELOAD ACCOUNT</t>
  </si>
  <si>
    <t>$X temporary row(s) have been added. Reload Account from: $DEGLINK in: $APPLINK</t>
  </si>
  <si>
    <t>NEW ALLOCATION</t>
  </si>
  <si>
    <t>$X € should be allocated in: $DEGLINK and reported in: $APPLINK</t>
  </si>
  <si>
    <t>09:38</t>
  </si>
  <si>
    <t>VANGUARD S&amp;P500</t>
  </si>
  <si>
    <t>IE00B3XXRP09</t>
  </si>
  <si>
    <t>Vente 26 VANGUARD S&amp;P500@48,654 EUR (IE00B3XXRP09)</t>
  </si>
  <si>
    <t>1265,00</t>
  </si>
  <si>
    <t>-404113,34</t>
  </si>
  <si>
    <t>4696341e-d218-479a-a072-af2d69f75530</t>
  </si>
  <si>
    <t>DateTime</t>
  </si>
  <si>
    <t>Time</t>
  </si>
  <si>
    <t>Year</t>
  </si>
  <si>
    <t>10-06-2019</t>
  </si>
  <si>
    <t>10:50</t>
  </si>
  <si>
    <t>Vente 29 VANGUARD S&amp;P500@48,562 EUR (IE00B3XXRP09)</t>
  </si>
  <si>
    <t>1408,30</t>
  </si>
  <si>
    <t>-405378,34</t>
  </si>
  <si>
    <t>ff1c5ee5-412c-4b01-938d-8a397e1a34be</t>
  </si>
  <si>
    <t>Month</t>
  </si>
  <si>
    <t>Day</t>
  </si>
  <si>
    <t>WeekDay</t>
  </si>
  <si>
    <t>OpeningDay</t>
  </si>
  <si>
    <t>ClosingDay</t>
  </si>
  <si>
    <t>OpeningHour</t>
  </si>
  <si>
    <t>ClosingHour</t>
  </si>
  <si>
    <t>IsOpen</t>
  </si>
  <si>
    <t>07-06-2019</t>
  </si>
  <si>
    <t>16:56</t>
  </si>
  <si>
    <t>Vente 23 VANGUARD S&amp;P500@48,359 EUR (IE00B3XXRP09)</t>
  </si>
  <si>
    <t>1112,26</t>
  </si>
  <si>
    <t>-406786,64</t>
  </si>
  <si>
    <t>5c9d71a8-c44c-40bd-8bb0-89fc65f5bea4</t>
  </si>
  <si>
    <t>Cumulated profit total rate</t>
  </si>
  <si>
    <t>Cumulated profit</t>
  </si>
  <si>
    <t>Cumulated profit rate</t>
  </si>
  <si>
    <t>Cumulated dividend</t>
  </si>
  <si>
    <t>Cumulated dividend rate</t>
  </si>
  <si>
    <t>Average investment</t>
  </si>
  <si>
    <t>06-06-2019</t>
  </si>
  <si>
    <t>10:02</t>
  </si>
  <si>
    <t>Vente 58 VANGUARD S&amp;P500@48,02 EUR (IE00B3XXRP09)</t>
  </si>
  <si>
    <t>2785,16</t>
  </si>
  <si>
    <t>Saving duration</t>
  </si>
  <si>
    <t>-407898,90</t>
  </si>
  <si>
    <t>e238bc5f-8f89-4483-9c39-4b95234a483f</t>
  </si>
  <si>
    <t>Working free duration</t>
  </si>
  <si>
    <t>Since Independance duration</t>
  </si>
  <si>
    <t>Since Independance gap</t>
  </si>
  <si>
    <t>Monthly income</t>
  </si>
  <si>
    <t>04-06-2019</t>
  </si>
  <si>
    <t>18:21</t>
  </si>
  <si>
    <t>Retrait de fonds</t>
  </si>
  <si>
    <t>-100,00</t>
  </si>
  <si>
    <t>-410684,06</t>
  </si>
  <si>
    <t>Income use</t>
  </si>
  <si>
    <t>Current monthly dividend / thousand</t>
  </si>
  <si>
    <t>14:50</t>
  </si>
  <si>
    <t>31-05-2019</t>
  </si>
  <si>
    <t>Intérêts débiteurs mensuels (Débit Argent)</t>
  </si>
  <si>
    <t>-569,48</t>
  </si>
  <si>
    <t>-410584,06</t>
  </si>
  <si>
    <t xml:space="preserve">Last year monthly dividend </t>
  </si>
  <si>
    <t>Next portfolio objective</t>
  </si>
  <si>
    <t>Next portfolio objective spread</t>
  </si>
  <si>
    <t>Next portfolio objective ratio</t>
  </si>
  <si>
    <t>09:32</t>
  </si>
  <si>
    <t>Vente 9 ETFS PHYSICALGOLD@112,4 EUR (JE00B1VS3770)</t>
  </si>
  <si>
    <t>1011,60</t>
  </si>
  <si>
    <t>-410014,58</t>
  </si>
  <si>
    <t>6cf3cfcf-683e-4658-860c-723e29da6a23</t>
  </si>
  <si>
    <t>Debt</t>
  </si>
  <si>
    <t>Current portfolio duration</t>
  </si>
  <si>
    <t>06:49</t>
  </si>
  <si>
    <t>03-06-2019</t>
  </si>
  <si>
    <t>1383,01</t>
  </si>
  <si>
    <t>-411026,18</t>
  </si>
  <si>
    <t>Current portfolio profit</t>
  </si>
  <si>
    <t>1,1241</t>
  </si>
  <si>
    <t>-1556,20</t>
  </si>
  <si>
    <t>Current portfolio profit rate</t>
  </si>
  <si>
    <t>Current portfolio dividend</t>
  </si>
  <si>
    <t>Current portfolio dividend rate</t>
  </si>
  <si>
    <t>Current portfolio cost</t>
  </si>
  <si>
    <t>Current portfolio cost rate</t>
  </si>
  <si>
    <t>10:35</t>
  </si>
  <si>
    <t>Frais de courtage</t>
  </si>
  <si>
    <t>-2,00</t>
  </si>
  <si>
    <t>-412409,19</t>
  </si>
  <si>
    <t>36c6d260-39c7-46d4-bcbb-5ff59e5a1a6f</t>
  </si>
  <si>
    <t>Overall dividend rate</t>
  </si>
  <si>
    <t>Last year dividend rate</t>
  </si>
  <si>
    <t>-0,46</t>
  </si>
  <si>
    <t>-412407,19</t>
  </si>
  <si>
    <t>Livret A</t>
  </si>
  <si>
    <t>EONIA</t>
  </si>
  <si>
    <t>Investment provision</t>
  </si>
  <si>
    <t>Vente 512 ISHSIV-DL T.BD20+YR DL D@4,4825 EUR (IE00BSKRJZ44)</t>
  </si>
  <si>
    <t>2295,04</t>
  </si>
  <si>
    <t>-412406,73</t>
  </si>
  <si>
    <t>Instant profit per trading day</t>
  </si>
  <si>
    <t>Instant profit per transaction</t>
  </si>
  <si>
    <t>Instant profit per month</t>
  </si>
  <si>
    <t>Last updated</t>
  </si>
  <si>
    <t>10:29</t>
  </si>
  <si>
    <t>ISHARES US T 7-10</t>
  </si>
  <si>
    <t>IE00B1FZS798</t>
  </si>
  <si>
    <t>Vente 7 ISHARES US T 7-10@179,42 EUR (IE00B1FZS798)</t>
  </si>
  <si>
    <t>1255,94</t>
  </si>
  <si>
    <t>-414701,77</t>
  </si>
  <si>
    <t>951139b1-7c6d-4009-977e-dab0c047ef7b</t>
  </si>
  <si>
    <t>App link</t>
  </si>
  <si>
    <t>https://goo.gl/amjmSv</t>
  </si>
  <si>
    <t>10:12</t>
  </si>
  <si>
    <t>Vente 10 ETFS PHYSICALGOLD@112,29 EUR (JE00B1VS3770)</t>
  </si>
  <si>
    <t>1122,90</t>
  </si>
  <si>
    <t>-415957,71</t>
  </si>
  <si>
    <t>27f27f0e-07b8-45bb-9fd9-f6f186d3f127</t>
  </si>
  <si>
    <t>09:30</t>
  </si>
  <si>
    <t>-417080,61</t>
  </si>
  <si>
    <t>0fdebfca-ce97-46c7-a4d4-af5d96af1cd8</t>
  </si>
  <si>
    <t>Target Dist</t>
  </si>
  <si>
    <t>Inst profit</t>
  </si>
  <si>
    <t>Avg profit</t>
  </si>
  <si>
    <t>Free</t>
  </si>
  <si>
    <t>Link</t>
  </si>
  <si>
    <t>Title</t>
  </si>
  <si>
    <t>ISIN</t>
  </si>
  <si>
    <t>Code</t>
  </si>
  <si>
    <t>Market</t>
  </si>
  <si>
    <t>Symbol</t>
  </si>
  <si>
    <t>Shares</t>
  </si>
  <si>
    <t>Long term US bonds (20-25 year)</t>
  </si>
  <si>
    <t>-0,78</t>
  </si>
  <si>
    <t>iShares Treasury Bond 20+ UCITS</t>
  </si>
  <si>
    <t>-417078,61</t>
  </si>
  <si>
    <t>DIVIDEND</t>
  </si>
  <si>
    <t>Buy</t>
  </si>
  <si>
    <t>iShares Treasury Bond 20+ UCITS@DIVIDEND@@-487.06</t>
  </si>
  <si>
    <t>Sell</t>
  </si>
  <si>
    <t>Estimation</t>
  </si>
  <si>
    <t>Monthly trade</t>
  </si>
  <si>
    <t>Rank</t>
  </si>
  <si>
    <t>Rebalance</t>
  </si>
  <si>
    <t>Provision</t>
  </si>
  <si>
    <t>Rest</t>
  </si>
  <si>
    <t>Tendency</t>
  </si>
  <si>
    <t>Daily result</t>
  </si>
  <si>
    <t>Rate</t>
  </si>
  <si>
    <t>Dividend</t>
  </si>
  <si>
    <t>Stock</t>
  </si>
  <si>
    <t>Total</t>
  </si>
  <si>
    <t>Cost</t>
  </si>
  <si>
    <t>Mean price</t>
  </si>
  <si>
    <t>Avg price</t>
  </si>
  <si>
    <t>Avg gap</t>
  </si>
  <si>
    <t>Trans profit</t>
  </si>
  <si>
    <t>Dist gap</t>
  </si>
  <si>
    <t>Avg prog</t>
  </si>
  <si>
    <t>Vente 871 ISHSIV-DL T.BD20+YR DL D@4,4625 EUR (IE00BSKRJZ44)</t>
  </si>
  <si>
    <t>3886,84</t>
  </si>
  <si>
    <t>Before catch</t>
  </si>
  <si>
    <t>-417077,83</t>
  </si>
  <si>
    <t>Price Gap</t>
  </si>
  <si>
    <t>Last upd</t>
  </si>
  <si>
    <t>Last div</t>
  </si>
  <si>
    <t>Next div</t>
  </si>
  <si>
    <t>Est div</t>
  </si>
  <si>
    <t>Div / month</t>
  </si>
  <si>
    <t>Avg value</t>
  </si>
  <si>
    <t>TEST</t>
  </si>
  <si>
    <t>ishares-usd-treasury-bond-20yr-de?cid=956312</t>
  </si>
  <si>
    <t>IS04 | iShares Treasury Bond 20+ UCITS Xetra ETF - Investing.com</t>
  </si>
  <si>
    <t>iShares Treasury Bond 20+ UCITS@DIVIDEND@@4012.65</t>
  </si>
  <si>
    <t>07:27</t>
  </si>
  <si>
    <t>1556,20</t>
  </si>
  <si>
    <t>APPROVISIONNEMENT</t>
  </si>
  <si>
    <t>@APPROVISIONNEMENT@@2000</t>
  </si>
  <si>
    <t>16:16</t>
  </si>
  <si>
    <t>-420964,67</t>
  </si>
  <si>
    <t>966c993c-2a24-4b3c-b133-4f8ff003de46</t>
  </si>
  <si>
    <t>Gold</t>
  </si>
  <si>
    <t>ETFS Physical Gold</t>
  </si>
  <si>
    <t>SELL</t>
  </si>
  <si>
    <t>ETFS Physical Gold@SELL@-9@1078.38</t>
  </si>
  <si>
    <t>ETFS Physical Gold@SELL@-9@1058.94</t>
  </si>
  <si>
    <t>-0,26</t>
  </si>
  <si>
    <t>-420962,67</t>
  </si>
  <si>
    <t>ETFS Physical Gold@SELL@-16@1882.56</t>
  </si>
  <si>
    <t>Vente 298 ISHSIV-DL T.BD20+YR DL D@4,4304 EUR (IE00BSKRJZ44)</t>
  </si>
  <si>
    <t>1320,26</t>
  </si>
  <si>
    <t>-420962,41</t>
  </si>
  <si>
    <t>Commodities</t>
  </si>
  <si>
    <t>ETFS All Commodities ETC</t>
  </si>
  <si>
    <t>BUY</t>
  </si>
  <si>
    <t>ETFS All Commodities ETC@BUY@1013@-7195.34</t>
  </si>
  <si>
    <t>ETFS All Commodities ETC@BUY@518@-3606.32</t>
  </si>
  <si>
    <t>Vente 6 ISHARES US T 7-10@178,3 EUR (IE00B1FZS798)</t>
  </si>
  <si>
    <t>1069,80</t>
  </si>
  <si>
    <t>-422282,67</t>
  </si>
  <si>
    <t>83e5feb3-63a4-4649-8e3a-0c8791653d0d</t>
  </si>
  <si>
    <t>ETFS All Commodities ETC@BUY@1762@-12267.04</t>
  </si>
  <si>
    <t>15:08</t>
  </si>
  <si>
    <t>Vente 10 ETFS PHYSICALGOLD@110,96 EUR (JE00B1VS3770)</t>
  </si>
  <si>
    <t>1109,60</t>
  </si>
  <si>
    <t>-423352,47</t>
  </si>
  <si>
    <t>fdab5fd4-4b4e-4ba8-a0b9-73387cb6b906</t>
  </si>
  <si>
    <t>Stocks</t>
  </si>
  <si>
    <t>Vanguard S&amp;P 500 UCITS</t>
  </si>
  <si>
    <t>Vanguard S&amp;P 500 UCITS@SELL@-26@1265</t>
  </si>
  <si>
    <t>Vanguard S&amp;P 500 UCITS@SELL@-29@1408.3</t>
  </si>
  <si>
    <t>11:40</t>
  </si>
  <si>
    <t>Vente 6 ISHARES US T 7-10@178,73 EUR (IE00B1FZS798)</t>
  </si>
  <si>
    <t>1072,38</t>
  </si>
  <si>
    <t>-424462,07</t>
  </si>
  <si>
    <t>41a1d24b-515c-4a8b-b76c-4a46215ea8d7</t>
  </si>
  <si>
    <t>Vanguard S&amp;P 500 UCITS@SELL@-23@1112.26</t>
  </si>
  <si>
    <t>11:02</t>
  </si>
  <si>
    <t>-425534,45</t>
  </si>
  <si>
    <t>1543fff9-e9ab-4c70-a2ad-926b2f35277e</t>
  </si>
  <si>
    <t>X</t>
  </si>
  <si>
    <t>vanguard-s-p-500-uk?cid=962112</t>
  </si>
  <si>
    <t>VUSA | Vanguard S&amp;P 500 UCITS Amsterdam ETF - Investing.com</t>
  </si>
  <si>
    <t>Vanguard S&amp;P 500 UCITS@SELL@-58@2785.16</t>
  </si>
  <si>
    <t>-1,00</t>
  </si>
  <si>
    <t>-425532,45</t>
  </si>
  <si>
    <t>@APPROVISIONNEMENT@@-100</t>
  </si>
  <si>
    <t>Vente 1 131 ISHSIV-DL T.BD20+YR DL D@4,4369 EUR (IE00BSKRJZ44)</t>
  </si>
  <si>
    <t>Intermediate US bonds (7-10 year)</t>
  </si>
  <si>
    <t>5018,13</t>
  </si>
  <si>
    <t>iShares Treasury Bond 7-10 UCITS</t>
  </si>
  <si>
    <t>-425531,45</t>
  </si>
  <si>
    <t>iShares Treasury Bond 7-10 UCITS@DIVIDEND@@-173.19</t>
  </si>
  <si>
    <t>ETFS Physical Gold@SELL@-9@1011.6</t>
  </si>
  <si>
    <t>29-05-2019</t>
  </si>
  <si>
    <t>11:08</t>
  </si>
  <si>
    <t>-430549,58</t>
  </si>
  <si>
    <t>539a5374-373c-4284-9a20-55bae8feac3d</t>
  </si>
  <si>
    <t>iShares Treasury Bond 7-10 UCITS@DIVIDEND@@1556.2</t>
  </si>
  <si>
    <t>iShares Treasury Bond 20+ UCITS@SELL@-512@2295.04</t>
  </si>
  <si>
    <t>-0,89</t>
  </si>
  <si>
    <t>-430547,58</t>
  </si>
  <si>
    <t>COST</t>
  </si>
  <si>
    <t>iShares Treasury Bond 20+ UCITS@COST@@-2.46</t>
  </si>
  <si>
    <t>ishares-$-treasury-bond-7-10?cid=47280</t>
  </si>
  <si>
    <t>BTMA | iShares Treasury Bond 7-10 UCITS Amsterdam ETF - Investing.com</t>
  </si>
  <si>
    <t>Vente 1 016 ISHSIV-DL T.BD20+YR DL D@4,3763 EUR (IE00BSKRJZ44)</t>
  </si>
  <si>
    <t>4446,32</t>
  </si>
  <si>
    <t>-430546,69</t>
  </si>
  <si>
    <t>iShares Treasury Bond 7-10 UCITS@SELL@-7@1255.94</t>
  </si>
  <si>
    <t>ETFS Physical Gold@SELL@-10@1122.9</t>
  </si>
  <si>
    <t>28-05-2019</t>
  </si>
  <si>
    <t>10:42</t>
  </si>
  <si>
    <t>-434993,01</t>
  </si>
  <si>
    <t>691261de-e200-40c4-94fb-4db7770c55ad</t>
  </si>
  <si>
    <t>iShares Treasury Bond 20+ UCITS@SELL@-871@3886.84</t>
  </si>
  <si>
    <t>-0,22</t>
  </si>
  <si>
    <t>-434991,01</t>
  </si>
  <si>
    <t>iShares Treasury Bond 20+ UCITS@COST@@-2.78</t>
  </si>
  <si>
    <t>etfs---physical-gold?cid=37600</t>
  </si>
  <si>
    <t>@COST@@-569.48</t>
  </si>
  <si>
    <t>PHAU | ETFS Physical Gold Amsterdam ETF - Investing.com</t>
  </si>
  <si>
    <t>Vente 258 ISHSIV-DL T.BD20+YR DL D@4,3349 EUR (IE00BSKRJZ44)</t>
  </si>
  <si>
    <t>1118,40</t>
  </si>
  <si>
    <t>-434990,79</t>
  </si>
  <si>
    <t>iShares Treasury Bond 20+ UCITS@SELL@-298@1320.26</t>
  </si>
  <si>
    <t>24-05-2019</t>
  </si>
  <si>
    <t>17:36</t>
  </si>
  <si>
    <t>-436109,19</t>
  </si>
  <si>
    <t>6328db5e-2bf1-4ca5-885a-f00a70633647</t>
  </si>
  <si>
    <t>iShares Treasury Bond 20+ UCITS@COST@@-2.26</t>
  </si>
  <si>
    <t>iShares Treasury Bond 7-10 UCITS@SELL@-6@1069.8</t>
  </si>
  <si>
    <t>-0,21</t>
  </si>
  <si>
    <t>-436107,19</t>
  </si>
  <si>
    <t>ETFS Physical Gold@SELL@-10@1109.6</t>
  </si>
  <si>
    <t>Vente 249 ISHSIV-DL T.BD20+YR DL D@4,2953 EUR (IE00BSKRJZ44)</t>
  </si>
  <si>
    <t>1069,53</t>
  </si>
  <si>
    <t>-436106,98</t>
  </si>
  <si>
    <t>iShares Treasury Bond 7-10 UCITS@SELL@-6@1072.38</t>
  </si>
  <si>
    <t>iShares Treasury Bond 20+ UCITS@SELL@-1131@5018.13</t>
  </si>
  <si>
    <t>23-05-2019</t>
  </si>
  <si>
    <t>15:41</t>
  </si>
  <si>
    <t>-437176,51</t>
  </si>
  <si>
    <t>efda5cc8-6623-4bfa-8dae-39b68d900e69</t>
  </si>
  <si>
    <t>etfs-all-commodities-dj-aigci?cid=47349</t>
  </si>
  <si>
    <t>AIGCP | ETFS All Commodities ETC Paris ETF - Investing.com</t>
  </si>
  <si>
    <t>iShares Treasury Bond 20+ UCITS@COST@@-3</t>
  </si>
  <si>
    <t>-0,24</t>
  </si>
  <si>
    <t>-437174,51</t>
  </si>
  <si>
    <t>efda5cc8-6623-4bfa-</t>
  </si>
  <si>
    <t>iShares Treasury Bond 20+ UCITS@SELL@-1016@4446.32</t>
  </si>
  <si>
    <t>iShares Treasury Bond 20+ UCITS@COST@@-2.89</t>
  </si>
  <si>
    <t>8dae-39b68d900e69</t>
  </si>
  <si>
    <t>iShares Treasury Bond 20+ UCITS@SELL@-258@1118.4</t>
  </si>
  <si>
    <t>Vente 277 ISHSIV-DL T.BD20+YR DL D@4,3067 EUR (IE00BSKRJZ44)</t>
  </si>
  <si>
    <t>1192,96</t>
  </si>
  <si>
    <t>-437174,27</t>
  </si>
  <si>
    <t>iShares Treasury Bond 20+ UCITS@COST@@-2.22</t>
  </si>
  <si>
    <t>iShares Treasury Bond 20+ UCITS@SELL@-249@1069.53</t>
  </si>
  <si>
    <t>11:42</t>
  </si>
  <si>
    <t>-438367,23</t>
  </si>
  <si>
    <t>d18b0fc6-5b20-4aa6-bc17-d71c8e55710c</t>
  </si>
  <si>
    <t>iShares Treasury Bond 20+ UCITS@COST@@-2.21</t>
  </si>
  <si>
    <t>TOTAL</t>
  </si>
  <si>
    <t>-0,25</t>
  </si>
  <si>
    <t>-438365,23</t>
  </si>
  <si>
    <t>Vente 292 ISHSIV-DL T.BD20+YR DL D@4,2938 EUR (IE00BSKRJZ44)</t>
  </si>
  <si>
    <t>1253,79</t>
  </si>
  <si>
    <t>-438364,98</t>
  </si>
  <si>
    <t>09:34</t>
  </si>
  <si>
    <t>-439618,77</t>
  </si>
  <si>
    <t>b4971fba-f0e1-4151-a1f9-11510b6a43ed</t>
  </si>
  <si>
    <t>iShares Treasury Bond 20+ UCITS@SELL@-277@1192.96</t>
  </si>
  <si>
    <t>iShares Treasury Bond 20+ UCITS@COST@@-2.24</t>
  </si>
  <si>
    <t>-439616,77</t>
  </si>
  <si>
    <t>iShares Treasury Bond 20+ UCITS@SELL@-292@1253.79</t>
  </si>
  <si>
    <t>iShares Treasury Bond 20+ UCITS@COST@@-2.25</t>
  </si>
  <si>
    <t>Vente 251 ISHSIV-DL T.BD20+YR DL D@4,278 EUR (IE00BSKRJZ44)</t>
  </si>
  <si>
    <t>1073,78</t>
  </si>
  <si>
    <t>-439616,56</t>
  </si>
  <si>
    <t>iShares Treasury Bond 20+ UCITS@SELL@-251@1073.78</t>
  </si>
  <si>
    <t>15-05-2019</t>
  </si>
  <si>
    <t>14:37</t>
  </si>
  <si>
    <t>Vente 6 ISHARES US T 7-10@177,46 EUR (IE00B1FZS798)</t>
  </si>
  <si>
    <t>1064,76</t>
  </si>
  <si>
    <t>-440690,34</t>
  </si>
  <si>
    <t>8f6bd114-7607-445f-9f0a-d7827435eb3d</t>
  </si>
  <si>
    <t>iShares Treasury Bond 7-10 UCITS@SELL@-6@1064.76</t>
  </si>
  <si>
    <t>14-05-2019</t>
  </si>
  <si>
    <t>10:13</t>
  </si>
  <si>
    <t>Achat 461 ETFS ALL COMMODIT.@7,13 EUR (GB00B15KY989)</t>
  </si>
  <si>
    <t>-3286,93</t>
  </si>
  <si>
    <t>-441755,10</t>
  </si>
  <si>
    <t>baff06b8-eab8-4596-b392-3f6955e12c08</t>
  </si>
  <si>
    <t>ETFS All Commodities ETC@BUY@461@-3286.93</t>
  </si>
  <si>
    <t>13-05-2019</t>
  </si>
  <si>
    <t>16:35</t>
  </si>
  <si>
    <t>-438468,17</t>
  </si>
  <si>
    <t>f82e77e9-39de-47d9-ab8a-467c22beb917</t>
  </si>
  <si>
    <t>Div</t>
  </si>
  <si>
    <t>Progress</t>
  </si>
  <si>
    <t>Evolution</t>
  </si>
  <si>
    <t>Total profit</t>
  </si>
  <si>
    <t>-438466,17</t>
  </si>
  <si>
    <t>iShares Treasury Bond 20+ UCITS@SELL@-552@2320.83</t>
  </si>
  <si>
    <t>Vente 552 ISHSIV-DL T.BD20+YR DL D@4,2044 EUR (IE00BSKRJZ44)</t>
  </si>
  <si>
    <t>2320,83</t>
  </si>
  <si>
    <t>-438465,71</t>
  </si>
  <si>
    <t>@APPROVISIONNEMENT@@-500</t>
  </si>
  <si>
    <t>11-05-2019</t>
  </si>
  <si>
    <t>21:46</t>
  </si>
  <si>
    <t>-500,00</t>
  </si>
  <si>
    <t>-440786,54</t>
  </si>
  <si>
    <t>iShares Treasury Bond 20+ UCITS@SELL@-412@1738.97</t>
  </si>
  <si>
    <t>iShares Treasury Bond 20+ UCITS@COST@@-2.35</t>
  </si>
  <si>
    <t>08-05-2019</t>
  </si>
  <si>
    <t>12:46</t>
  </si>
  <si>
    <t>-440286,54</t>
  </si>
  <si>
    <t>387e75f6-c51d-4cce-b95e-e21bb32b9f32</t>
  </si>
  <si>
    <t>iShares Treasury Bond 7-10 UCITS@SELL@-7@1233.4</t>
  </si>
  <si>
    <t>-0,35</t>
  </si>
  <si>
    <t>-440284,54</t>
  </si>
  <si>
    <t>iShares Treasury Bond 20+ UCITS@SELL@-388@1633.87</t>
  </si>
  <si>
    <t>iShares Treasury Bond 20+ UCITS@COST@@-2.33</t>
  </si>
  <si>
    <t>Vente 412 ISHSIV-DL T.BD20+YR DL D@4,2208 EUR (IE00BSKRJZ44)</t>
  </si>
  <si>
    <t>1738,97</t>
  </si>
  <si>
    <t>-440284,19</t>
  </si>
  <si>
    <t>iShares Treasury Bond 20+ UCITS@SELL@-277@1162.85</t>
  </si>
  <si>
    <t>12:16</t>
  </si>
  <si>
    <t>Vente 7 ISHARES US T 7-10@176,2 EUR (IE00B1FZS798)</t>
  </si>
  <si>
    <t>1233,40</t>
  </si>
  <si>
    <t>-442023,16</t>
  </si>
  <si>
    <t>aaeba8b2-95a0-4341-a8e0-929868bc24d9</t>
  </si>
  <si>
    <t>iShares Treasury Bond 20+ UCITS@COST@@-2.23</t>
  </si>
  <si>
    <t>iShares Treasury Bond 7-10 UCITS@SELL@-6@1053.06</t>
  </si>
  <si>
    <t>11:30</t>
  </si>
  <si>
    <t>-443256,56</t>
  </si>
  <si>
    <t>268c33dc-de6d-498b-ac01-0bffa02719c8</t>
  </si>
  <si>
    <t>iShares Treasury Bond 20+ UCITS@SELL@-925@3873.16</t>
  </si>
  <si>
    <t>-0,33</t>
  </si>
  <si>
    <t>-443254,56</t>
  </si>
  <si>
    <t>iShares Treasury Bond 20+ UCITS@COST@@-2.77</t>
  </si>
  <si>
    <t>Vente 388 ISHSIV-DL T.BD20+YR DL D@4,211 EUR (IE00BSKRJZ44)</t>
  </si>
  <si>
    <t>1633,87</t>
  </si>
  <si>
    <t>-443254,23</t>
  </si>
  <si>
    <t>07-05-2019</t>
  </si>
  <si>
    <t>17:00</t>
  </si>
  <si>
    <t>-444888,09</t>
  </si>
  <si>
    <t>e9363fd0-4e99-45ba-a932-5ca756a2dc62</t>
  </si>
  <si>
    <t>@COST@@-547.92</t>
  </si>
  <si>
    <t>-0,23</t>
  </si>
  <si>
    <t>-444886,09</t>
  </si>
  <si>
    <t>Vente 277 ISHSIV-DL T.BD20+YR DL D@4,198 EUR (IE00BSKRJZ44)</t>
  </si>
  <si>
    <t>1162,85</t>
  </si>
  <si>
    <t>-444885,86</t>
  </si>
  <si>
    <t>@COST@@-2.5</t>
  </si>
  <si>
    <t>iShares Treasury Bond 20+ UCITS@SELL@-295@1229.74</t>
  </si>
  <si>
    <t>06-05-2019</t>
  </si>
  <si>
    <t>14:30</t>
  </si>
  <si>
    <t>Vente 6 ISHARES US T 7-10@175,51 EUR (IE00B1FZS798)</t>
  </si>
  <si>
    <t>1053,06</t>
  </si>
  <si>
    <t>-446048,71</t>
  </si>
  <si>
    <t>94e01c63-2ff1-4332-ac68-15767beb65ba</t>
  </si>
  <si>
    <t>Vanguard S&amp;P 500 UCITS@SELL@-25@1252.3</t>
  </si>
  <si>
    <t>12:31</t>
  </si>
  <si>
    <t>-447101,77</t>
  </si>
  <si>
    <t>78555421-22f8-489f-9dc0-ac0016b201b5</t>
  </si>
  <si>
    <t>iShares Treasury Bond 20+ UCITS@SELL@-544@2264.67</t>
  </si>
  <si>
    <t>iShares Treasury Bond 20+ UCITS@COST@@-2.45</t>
  </si>
  <si>
    <t>-0,77</t>
  </si>
  <si>
    <t>-447099,77</t>
  </si>
  <si>
    <t>Vente 925 ISHSIV-DL T.BD20+YR DL D@4,1872 EUR (IE00BSKRJZ44)</t>
  </si>
  <si>
    <t>3873,16</t>
  </si>
  <si>
    <t>-447099,00</t>
  </si>
  <si>
    <t>03-05-2019</t>
  </si>
  <si>
    <t>15:25</t>
  </si>
  <si>
    <t>-450972,16</t>
  </si>
  <si>
    <t>95e74986-7559-44b5-8985-62e5b7e1944c</t>
  </si>
  <si>
    <t>iShares Treasury Bond 7-10 UCITS@SELL@-6@1050</t>
  </si>
  <si>
    <t>-450970,16</t>
  </si>
  <si>
    <t>Vanguard S&amp;P 500 UCITS@SELL@-21@1044.31</t>
  </si>
  <si>
    <t>Vente 295 ISHSIV-DL T.BD20+YR DL D@4,1686 EUR (IE00BSKRJZ44)</t>
  </si>
  <si>
    <t>1229,74</t>
  </si>
  <si>
    <t>-450969,91</t>
  </si>
  <si>
    <t>iShares Treasury Bond 20+ UCITS@SELL@-330@1366.53</t>
  </si>
  <si>
    <t>iShares Treasury Bond 20+ UCITS@COST@@-2.27</t>
  </si>
  <si>
    <t>13:46</t>
  </si>
  <si>
    <t>30-04-2019</t>
  </si>
  <si>
    <t>Frais de connexion aux places boursières 2019 (Xetra - XET)</t>
  </si>
  <si>
    <t>-2,50</t>
  </si>
  <si>
    <t>-452199,65</t>
  </si>
  <si>
    <t>Vanguard S&amp;P 500 UCITS@SELL@-23@1143.1</t>
  </si>
  <si>
    <t>13:21</t>
  </si>
  <si>
    <t>iShares Treasury Bond 20+ UCITS@SELL@-320@1323.42</t>
  </si>
  <si>
    <t>-452197,15</t>
  </si>
  <si>
    <t>08:42</t>
  </si>
  <si>
    <t>-547,92</t>
  </si>
  <si>
    <t>-451697,15</t>
  </si>
  <si>
    <t>iShares Treasury Bond 7-10 UCITS@SELL@-6@1048.02</t>
  </si>
  <si>
    <t>iShares Treasury Bond 20+ UCITS@SELL@-285@1174.71</t>
  </si>
  <si>
    <t>29-04-2019</t>
  </si>
  <si>
    <t>16:43</t>
  </si>
  <si>
    <t>Vente 25 VANGUARD S&amp;P500@50,092 EUR (IE00B3XXRP09)</t>
  </si>
  <si>
    <t>1252,30</t>
  </si>
  <si>
    <t>-451149,23</t>
  </si>
  <si>
    <t>db86ca6d-cdf3-4aab-b973-5e14654e9cf3</t>
  </si>
  <si>
    <t>Vanguard S&amp;P 500 UCITS@SELL@-25@1240.5</t>
  </si>
  <si>
    <t>25-04-2019</t>
  </si>
  <si>
    <t>09:24</t>
  </si>
  <si>
    <t>-452401,53</t>
  </si>
  <si>
    <t>6d12eb93-293a-45a7-b3aa-c12a6854db4a</t>
  </si>
  <si>
    <t>Vanguard S&amp;P 500 UCITS@SELL@-25@1230.12</t>
  </si>
  <si>
    <t>-0,45</t>
  </si>
  <si>
    <t>-452399,53</t>
  </si>
  <si>
    <t>ETFS All Commodities ETC@SELL@-150@1114.5</t>
  </si>
  <si>
    <t>@COST@@-29.90</t>
  </si>
  <si>
    <t>Vente 544 ISHSIV-DL T.BD20+YR DL D@4,163 EUR (IE00BSKRJZ44)</t>
  </si>
  <si>
    <t>2264,67</t>
  </si>
  <si>
    <t>-452399,08</t>
  </si>
  <si>
    <t>Vanguard S&amp;P 500 UCITS@SELL@-25@1225.75</t>
  </si>
  <si>
    <t>iShares Treasury Bond 20+ UCITS@SELL@-879@3603.2</t>
  </si>
  <si>
    <t>24-04-2019</t>
  </si>
  <si>
    <t>17:27</t>
  </si>
  <si>
    <t>Vente 6 ISHARES US T 7-10@175 EUR (IE00B1FZS798)</t>
  </si>
  <si>
    <t>1050,00</t>
  </si>
  <si>
    <t>-454663,75</t>
  </si>
  <si>
    <t>81129dba-41e7-4c8a-8d70-35743146ae0c</t>
  </si>
  <si>
    <t>iShares Treasury Bond 20+ UCITS@COST@@-2.72</t>
  </si>
  <si>
    <t>16:13</t>
  </si>
  <si>
    <t>Vente 21 VANGUARD S&amp;P500@49,729 EUR (IE00B3XXRP09)</t>
  </si>
  <si>
    <t>1044,31</t>
  </si>
  <si>
    <t>-455713,75</t>
  </si>
  <si>
    <t>b98ba925-eef4-470f-a921-4b22cbc0b880</t>
  </si>
  <si>
    <t>Vanguard S&amp;P 500 UCITS@SELL@-25@1224.75</t>
  </si>
  <si>
    <t>Vanguard S&amp;P 500 UCITS@SELL@-25@1219.88</t>
  </si>
  <si>
    <t>15:47</t>
  </si>
  <si>
    <t>-456758,06</t>
  </si>
  <si>
    <t>3435e14b-b98c-4d5b-8929-c431cbad924f</t>
  </si>
  <si>
    <t>iShares Treasury Bond 20+ UCITS@BUY@60580@-248256.84</t>
  </si>
  <si>
    <t>iShares Treasury Bond 20+ UCITS@COST@@-51.65</t>
  </si>
  <si>
    <t>-0,27</t>
  </si>
  <si>
    <t>-456756,06</t>
  </si>
  <si>
    <t>iShares Treasury Bond 20+ UCITS@BUY@12775@-52351.56</t>
  </si>
  <si>
    <t>iShares Treasury Bond 20+ UCITS@COST@@-12.47</t>
  </si>
  <si>
    <t>Vente 330 ISHSIV-DL T.BD20+YR DL D@4,141 EUR (IE00BSKRJZ44)</t>
  </si>
  <si>
    <t>1366,53</t>
  </si>
  <si>
    <t>-456755,79</t>
  </si>
  <si>
    <t>Vanguard S&amp;P 500 UCITS@SELL@-26@1265.94</t>
  </si>
  <si>
    <t>Margin available</t>
  </si>
  <si>
    <t>Monetary fund</t>
  </si>
  <si>
    <t>Vanguard S&amp;P 500 UCITS@DIVIDEND@@-125.08</t>
  </si>
  <si>
    <t>Portfolio value</t>
  </si>
  <si>
    <t>Portfolio risk</t>
  </si>
  <si>
    <t>14:48</t>
  </si>
  <si>
    <t>-458122,32</t>
  </si>
  <si>
    <t>a0f268cd-74c0-48bb-83de-db2485c7eb79</t>
  </si>
  <si>
    <t>Credit available</t>
  </si>
  <si>
    <t>Gage value</t>
  </si>
  <si>
    <t>Vanguard S&amp;P 500 UCITS@COST@@17.94</t>
  </si>
  <si>
    <t>MARGIN</t>
  </si>
  <si>
    <t>CURRENT ALLOCATION</t>
  </si>
  <si>
    <t>Vanguard S&amp;P 500 UCITS@DIVIDEND@@1098.21</t>
  </si>
  <si>
    <t>AVAILABLE ALLOCATION</t>
  </si>
  <si>
    <t>-458120,32</t>
  </si>
  <si>
    <t>REQUESTED ALLOCATION</t>
  </si>
  <si>
    <t>Monthly portfolio average</t>
  </si>
  <si>
    <t>Vanguard S&amp;P 500 UCITS@SELL@-30@1462.5</t>
  </si>
  <si>
    <t>Monthly profit average</t>
  </si>
  <si>
    <t>Estimated max available</t>
  </si>
  <si>
    <t>Vente 320 ISHSIV-DL T.BD20+YR DL D@4,1357 EUR (IE00BSKRJZ44)</t>
  </si>
  <si>
    <t>1323,42</t>
  </si>
  <si>
    <t>-458120,06</t>
  </si>
  <si>
    <t>ETFS All Commodities ETC@SELL@-155@1153.2</t>
  </si>
  <si>
    <t>ETFS All Commodities ETC@SELL@-145@1077.64</t>
  </si>
  <si>
    <t>ETFS All Commodities ETC@SELL@-220@1632.4</t>
  </si>
  <si>
    <t>Allocation</t>
  </si>
  <si>
    <t>Cash</t>
  </si>
  <si>
    <t>Vente 23 VANGUARD S&amp;P500@49,7 EUR (IE00B3XXRP09)</t>
  </si>
  <si>
    <t>Use</t>
  </si>
  <si>
    <t>1143,10</t>
  </si>
  <si>
    <t>-459443,48</t>
  </si>
  <si>
    <t>850bf933-df81-4040-9bfb-432ab014e91b</t>
  </si>
  <si>
    <t>Ratio</t>
  </si>
  <si>
    <t>Interest</t>
  </si>
  <si>
    <t>Wasted</t>
  </si>
  <si>
    <t>Income</t>
  </si>
  <si>
    <t>ETFS All Commodities ETC@SELL@-200@1484</t>
  </si>
  <si>
    <t>14:38</t>
  </si>
  <si>
    <t>Vente 6 ISHARES US T 7-10@174,67 EUR (IE00B1FZS798)</t>
  </si>
  <si>
    <t>1048,02</t>
  </si>
  <si>
    <t>-460586,58</t>
  </si>
  <si>
    <t>18f2e591-74a2-478b-b6b1-35104bd56c05</t>
  </si>
  <si>
    <t>11:32</t>
  </si>
  <si>
    <t>-461634,60</t>
  </si>
  <si>
    <t>065eed4d-711c-4b7d-84b5-bfe3d51059e9</t>
  </si>
  <si>
    <t>@COST@@-618.92</t>
  </si>
  <si>
    <t>-461632,60</t>
  </si>
  <si>
    <t>iShares Treasury Bond 20+ UCITS USD Dist</t>
  </si>
  <si>
    <t>iShares Treasury Bond 20+ UCITS@COST@@-51.46</t>
  </si>
  <si>
    <t>iShares Treasury Bond 20+ UCITS@SELL@-60000@246774.25</t>
  </si>
  <si>
    <t xml:space="preserve">Vente 285 ISHSIV-DL T.BD20+YR DL D@4,1218 EUR </t>
  </si>
  <si>
    <t>1174,71</t>
  </si>
  <si>
    <t>-461632,37</t>
  </si>
  <si>
    <t>065eed4d-711c-4b7d-</t>
  </si>
  <si>
    <t>iShares Treasury Bond 20+ UCITS@COST@@-12.88</t>
  </si>
  <si>
    <t>iShares Treasury Bond 20+ UCITS@SELL@-13195@54273.96</t>
  </si>
  <si>
    <t>(IE00BSKRJZ44)</t>
  </si>
  <si>
    <t>84b5-bfe3d51059e9</t>
  </si>
  <si>
    <t>Vanguard S&amp;P 500 UCITS@SELL@-22@1048.96</t>
  </si>
  <si>
    <t>Vente 25 VANGUARD S&amp;P500@49,62 EUR (IE00B3XXRP09)</t>
  </si>
  <si>
    <t>1240,50</t>
  </si>
  <si>
    <t>-462807,09</t>
  </si>
  <si>
    <t>c333d959-e5a3-42c6-a8ae-003e96beb276</t>
  </si>
  <si>
    <t>iShares Treasury Bond 20+ UCITS@COST@@-2.73</t>
  </si>
  <si>
    <t>iShares Treasury Bond 20+ UCITS@SELL@-900@3649.01</t>
  </si>
  <si>
    <t>23-04-2019</t>
  </si>
  <si>
    <t>14:46</t>
  </si>
  <si>
    <t>Vente 25 VANGUARD S&amp;P500@49,205 EUR (IE00B3XXRP09)</t>
  </si>
  <si>
    <t>1230,12</t>
  </si>
  <si>
    <t>-464047,59</t>
  </si>
  <si>
    <t>2d934330-6a87-45f2-b327-a210b24845dc</t>
  </si>
  <si>
    <t>ETFS All Commodities ETC@BUY@185@-1350.13</t>
  </si>
  <si>
    <t>iShares Treasury Bond 7-10 UCITS@SELL@-8@1380.8</t>
  </si>
  <si>
    <t>12:09</t>
  </si>
  <si>
    <t>iShares Treasury Bond 20+ UCITS@SELL@-10@40.41</t>
  </si>
  <si>
    <t>Vente 150 ETFS ALL COMMODIT.@7,43 EUR (GB00B15KY989)</t>
  </si>
  <si>
    <t>1114,50</t>
  </si>
  <si>
    <t>-465277,71</t>
  </si>
  <si>
    <t>dd3b101a-e6c2-499b-a477-b2da957ced27</t>
  </si>
  <si>
    <t>iShares Treasury Bond 20+ UCITS@COST@@-2.01</t>
  </si>
  <si>
    <t>iShares Treasury Bond 7-10 UCITS@SELL@-6@1019.4</t>
  </si>
  <si>
    <t>18-04-2019</t>
  </si>
  <si>
    <t>15:18</t>
  </si>
  <si>
    <t>Vente 25 VANGUARD S&amp;P500@49,03 EUR (IE00B3XXRP09)</t>
  </si>
  <si>
    <t>1225,75</t>
  </si>
  <si>
    <t>-466392,21</t>
  </si>
  <si>
    <t>8967ce72-d945-4b15-a55b-6a4a507fed07</t>
  </si>
  <si>
    <t>@APPROVISIONNEMENT@@-700</t>
  </si>
  <si>
    <t>Is Expense</t>
  </si>
  <si>
    <t>PAYPAL *SHANGHAIZHU</t>
  </si>
  <si>
    <t>@COST@@-534.72</t>
  </si>
  <si>
    <t>10:00</t>
  </si>
  <si>
    <t>-467617,96</t>
  </si>
  <si>
    <t>5c1642cc-c28b-46c4-9fd5-23e3f8cb1649</t>
  </si>
  <si>
    <t>VIR SEPA De Giro Stichting</t>
  </si>
  <si>
    <t>VIR SEPA MR LOPEZ GERARD OU MME</t>
  </si>
  <si>
    <t>REST TRESOR IND</t>
  </si>
  <si>
    <t>Virement interne depuis Courant</t>
  </si>
  <si>
    <t>VIR SEPA DEFROCOURT Florian</t>
  </si>
  <si>
    <t>VIR SEPA C.P.A.M. NIMES</t>
  </si>
  <si>
    <t>Vanguard S&amp;P 500 UCITS@SELL@-75@3538.5</t>
  </si>
  <si>
    <t>CARTE 11/06/19 78 CABINET DENTAI CB*9987</t>
  </si>
  <si>
    <t>REM CHQ N. 1048702</t>
  </si>
  <si>
    <t>PRLV SEPA CA CONSUMER FINANCE</t>
  </si>
  <si>
    <t>VIR SEPA STICHTING DEGIRO</t>
  </si>
  <si>
    <t>VIR SEPA M LORTHIOIS BRUNO</t>
  </si>
  <si>
    <t>VIR SEPA Century 21</t>
  </si>
  <si>
    <t>VIR SEPA CAF DES YVELINES</t>
  </si>
  <si>
    <t>CARTE 01/06/19 78 PINEAPPLE CB*9987</t>
  </si>
  <si>
    <t>VIR SEPA POLE EMPLOI DR IDF ALLOCATAIRE</t>
  </si>
  <si>
    <t>VIR SEPA MME CAPELLE PATRICIA</t>
  </si>
  <si>
    <t>CARTE 26/05/19 95 AU JARDIN ENCH CB*9987</t>
  </si>
  <si>
    <t>VIR SEPA Florian Defrocourt</t>
  </si>
  <si>
    <t>CARTE 16/05/19 78 CABINET DENTAI CB*9987</t>
  </si>
  <si>
    <t>Virement interne</t>
  </si>
  <si>
    <t>VIR Virement instantane de MR DEFROCOURT Florian</t>
  </si>
  <si>
    <t>CARTE 03/05/19 66 SYLVIE BLACHON CB*9987</t>
  </si>
  <si>
    <t>Vanguard S&amp;P 500 UCITS@SELL@-29@1363.72</t>
  </si>
  <si>
    <t>*INTERETS DEBITEURS AU 31/03/19</t>
  </si>
  <si>
    <t>CARTE 01/04/19 78 MAISON GAO CB*9987</t>
  </si>
  <si>
    <t>CARTE 01/04/19 78 LE MONDE DES F CB*9987</t>
  </si>
  <si>
    <t>Participation frais</t>
  </si>
  <si>
    <t>Kindle Svcs</t>
  </si>
  <si>
    <t>Amazon.fr</t>
  </si>
  <si>
    <t>-0,72</t>
  </si>
  <si>
    <t>-467615,96</t>
  </si>
  <si>
    <t>Vanguard S&amp;P 500 UCITS@SELL@-1@47.04</t>
  </si>
  <si>
    <t>Hon*PP*Honnold Foundat</t>
  </si>
  <si>
    <t>VIR Virement instantane de MR DEFROCOUR</t>
  </si>
  <si>
    <t>CARTE 14022019 75 GOOGLE Google CB*9987</t>
  </si>
  <si>
    <t>PATISSERI OSMONT</t>
  </si>
  <si>
    <t>CARTE 03022019 78 MAISON GAO CB*9987</t>
  </si>
  <si>
    <t>LA POSTE L780150</t>
  </si>
  <si>
    <t>VIR Retrait Epargne Florian</t>
  </si>
  <si>
    <t>MAISON GAO</t>
  </si>
  <si>
    <t>VIR Cadeaux de Noel Florian</t>
  </si>
  <si>
    <t>VIR Retrait Epargne</t>
  </si>
  <si>
    <t>CARTE 04122018 95 CASTORAMA CB*9987</t>
  </si>
  <si>
    <t>VIR Achat Castorama</t>
  </si>
  <si>
    <t>CARTE 30112018 E.LECLERC CB*9987</t>
  </si>
  <si>
    <t>CARTE 30112018 95 CASTORAMA CB*9987</t>
  </si>
  <si>
    <t>Vanguard S&amp;P 500 UCITS@SELL@-45@2090.25</t>
  </si>
  <si>
    <t>VIR Essence + Casto</t>
  </si>
  <si>
    <t>PRLV SEPA DIRECTION GENERALE DES FINANCE</t>
  </si>
  <si>
    <t>VIR Moitie essence 12/11/18</t>
  </si>
  <si>
    <t>SNCF</t>
  </si>
  <si>
    <t>CARTE 09112018 78 LECLERC CB*9987</t>
  </si>
  <si>
    <t>CARTE 09112018 78 LECLERC S/S CB*9987</t>
  </si>
  <si>
    <t>CARTE 09112018 95 CHATEAU AUVERS CB*9987</t>
  </si>
  <si>
    <t>CARTE 06112018 35 AMENDE RADAR W CB*9987</t>
  </si>
  <si>
    <t>VIR Amende</t>
  </si>
  <si>
    <t>*FRAIS AFFRAN. SERV. ENVOYER CHQ</t>
  </si>
  <si>
    <t>SERVICE ENVOYER CHQ Nº 0751521</t>
  </si>
  <si>
    <t>VIR grobobo</t>
  </si>
  <si>
    <t>PRLV SEPA AVANSSUR</t>
  </si>
  <si>
    <t>*INT DEB AU 30/09/18</t>
  </si>
  <si>
    <t>VIR SEPA L Les deux rives conseil</t>
  </si>
  <si>
    <t>VIR Remboursement espece</t>
  </si>
  <si>
    <t>GOOGLE *SERVICES</t>
  </si>
  <si>
    <t>WIKIMEDIA 877-600-9454</t>
  </si>
  <si>
    <t>Vente 879 ISHSIV-DL T.BD20+YR DL D@4,0992 EUR (IE00BSKRJZ44)</t>
  </si>
  <si>
    <t>3603,20</t>
  </si>
  <si>
    <t>-467615,24</t>
  </si>
  <si>
    <t>LAWSON</t>
  </si>
  <si>
    <t>Vanguard S&amp;P 500 UCITS@SELL@-38@1753.13</t>
  </si>
  <si>
    <t>FAMILYMART</t>
  </si>
  <si>
    <t>SEVEN-ELEVEN JAPAN</t>
  </si>
  <si>
    <t>DON QUIJOTE</t>
  </si>
  <si>
    <t>MINISTOP MARUGAMEJOSEI</t>
  </si>
  <si>
    <t>WILLER TRAVEL,INC.</t>
  </si>
  <si>
    <t>COCOICHIBANYA TOKUYAMA</t>
  </si>
  <si>
    <t>IZUMI HONNBU</t>
  </si>
  <si>
    <t>CHUOFOOD KUMAGETEN</t>
  </si>
  <si>
    <t>1.7 percent foreign ATM usage mark-up fee</t>
  </si>
  <si>
    <t>YUMETAUNHIROSHIMA(SHIY</t>
  </si>
  <si>
    <t>JAPANPOST BANK(630380)</t>
  </si>
  <si>
    <t>JAPANPOST BANK(530090)</t>
  </si>
  <si>
    <t>NARUSU KOKUFU</t>
  </si>
  <si>
    <t>FASHION CENTER SHIMAMU</t>
  </si>
  <si>
    <t>Vanguard S&amp;P 500 UCITS@SELL@-14@642.83</t>
  </si>
  <si>
    <t>FLO PAYE JUILLET 2018</t>
  </si>
  <si>
    <t>CARTE 11062018 FI FINNAIR FRANCE CB*9987</t>
  </si>
  <si>
    <t>CARTE 09062018 78 LE MEKONG CB*9987</t>
  </si>
  <si>
    <t>REM CHQ N. 0333738</t>
  </si>
  <si>
    <t>RETRAIT DAB 26052018 CONFLANS ST CB*9987</t>
  </si>
  <si>
    <t>CARTE 26052018 78 PATISSERI OSMO CB*9987</t>
  </si>
  <si>
    <t>LA POSTE L780150 78 A</t>
  </si>
  <si>
    <t>LES P'TITS PAPIE</t>
  </si>
  <si>
    <t>PRLV SEPA EDF clients particuliers</t>
  </si>
  <si>
    <t>VIR SEPA ELECTRICITE DE FRANCE</t>
  </si>
  <si>
    <t>VIR SEPA DEFROCOURT Florian (interne)</t>
  </si>
  <si>
    <t>VIR Loyer</t>
  </si>
  <si>
    <t>PAYPAL *SHOP D ORO</t>
  </si>
  <si>
    <t>16-04-2019</t>
  </si>
  <si>
    <t>11:27</t>
  </si>
  <si>
    <t>Vente 25 VANGUARD S&amp;P500@48,99 EUR (IE00B3XXRP09)</t>
  </si>
  <si>
    <t>1224,75</t>
  </si>
  <si>
    <t>-471218,44</t>
  </si>
  <si>
    <t>7580a58f-19c4-4dc3-99d5-9f6eda19f8ff</t>
  </si>
  <si>
    <t>*INT DEB AU 31/03/18</t>
  </si>
  <si>
    <t>ETFS All Commodities ETC@BUY@170@-1226.21</t>
  </si>
  <si>
    <t>CARTE 18032018 HP FRANCE SAS CB*9987</t>
  </si>
  <si>
    <t>VIR amandes</t>
  </si>
  <si>
    <t>CARTE 03032018 35 AMENDE RADAR W CB*9987</t>
  </si>
  <si>
    <t>VIR SEPA SP EXPERTISE SARL (Interne)</t>
  </si>
  <si>
    <t>CARTE 18022018 HP FRANCE SAS CB*9987</t>
  </si>
  <si>
    <t>AMZ*GOMARK</t>
  </si>
  <si>
    <t>AMZ*Universal Color</t>
  </si>
  <si>
    <t>-35,83 €</t>
  </si>
  <si>
    <t>FNAC DIRECT</t>
  </si>
  <si>
    <t>WWW.ALIEXPRESS.COM</t>
  </si>
  <si>
    <t>REM CHQ N. 0174674</t>
  </si>
  <si>
    <t>ETFS All Commodities ETC@BUY@30@-216.42</t>
  </si>
  <si>
    <t>virement interne</t>
  </si>
  <si>
    <t>PAYPAL *RETROELECTR</t>
  </si>
  <si>
    <t>PAIEMENT CARTE 11012018 75 AMAZON EU SAR</t>
  </si>
  <si>
    <t>-92,39 €</t>
  </si>
  <si>
    <t>PAYPAL *HUNGKAMKEUN</t>
  </si>
  <si>
    <t>PAYPAL *CHENGUOCAI</t>
  </si>
  <si>
    <t>Defrocourt Florian (Interne)</t>
  </si>
  <si>
    <t>Amazon Marketplace FR</t>
  </si>
  <si>
    <t>*INT DEB AU 31/12/17</t>
  </si>
  <si>
    <t>LA POSTE BOUTIQU 75 PA</t>
  </si>
  <si>
    <t>PRIME DE PARRAINAGE</t>
  </si>
  <si>
    <t>15-04-2019</t>
  </si>
  <si>
    <t>13:25</t>
  </si>
  <si>
    <t>Vente 25 VANGUARD S&amp;P500@48,795 EUR (IE00B3XXRP09)</t>
  </si>
  <si>
    <t>1219,88</t>
  </si>
  <si>
    <t>-472443,19</t>
  </si>
  <si>
    <t>a17f7e7f-9892-4962-8dfb-6ff7055f1379</t>
  </si>
  <si>
    <t>VIR SEPA SCI AGIL</t>
  </si>
  <si>
    <t>VIR SEPA POLE EMPLOI</t>
  </si>
  <si>
    <t>Flo</t>
  </si>
  <si>
    <t>Vanguard S&amp;P 500 UCITS@SELL@-54@2479.46</t>
  </si>
  <si>
    <t>Parrainage</t>
  </si>
  <si>
    <t>SNCF 95 GO</t>
  </si>
  <si>
    <t>SNCF 78 CO</t>
  </si>
  <si>
    <t>VIR SEPA EUROP ASSISTANCE FRANCE</t>
  </si>
  <si>
    <t>REM CHQ N. 0105343</t>
  </si>
  <si>
    <t>REDOUTE AUB VAD</t>
  </si>
  <si>
    <t>SNCF OUIGO 92 PA</t>
  </si>
  <si>
    <t>REM CHQ N. 0097212</t>
  </si>
  <si>
    <t>REGUL PAI CARTE 15092017 CH Home Consult</t>
  </si>
  <si>
    <t>LA POSTE 780150 78 A</t>
  </si>
  <si>
    <t>AVOIR 10112017 75 AMAZON PAYMENTS</t>
  </si>
  <si>
    <t>REM CHQ N. 0081583</t>
  </si>
  <si>
    <t>iShares Treasury Bond 20+ UCITS@SELL@-270@1090.17</t>
  </si>
  <si>
    <t>12-04-2019</t>
  </si>
  <si>
    <t>12:48</t>
  </si>
  <si>
    <t>Vente 26 VANGUARD S&amp;P500@48,69 EUR (IE00B3XXRP09)</t>
  </si>
  <si>
    <t>1265,94</t>
  </si>
  <si>
    <t>-473663,06</t>
  </si>
  <si>
    <t>8dd5c788-bfcf-47c5-9f19-96d6c00f07eb</t>
  </si>
  <si>
    <t>Name</t>
  </si>
  <si>
    <t>Amount</t>
  </si>
  <si>
    <t>Boursorama</t>
  </si>
  <si>
    <t>N26</t>
  </si>
  <si>
    <t>Term</t>
  </si>
  <si>
    <t>Total month</t>
  </si>
  <si>
    <t>Start Date</t>
  </si>
  <si>
    <t>End Date</t>
  </si>
  <si>
    <t>Initial</t>
  </si>
  <si>
    <t>Remain month</t>
  </si>
  <si>
    <t>Due</t>
  </si>
  <si>
    <t>Sofinco</t>
  </si>
  <si>
    <t>iShares Treasury Bond 7-10 UCITS@SELL@-6@1023</t>
  </si>
  <si>
    <t>11:57</t>
  </si>
  <si>
    <t>-7,26</t>
  </si>
  <si>
    <t>-474929,00</t>
  </si>
  <si>
    <t>9136376f-107d-4891-9e78-1e243742e26a</t>
  </si>
  <si>
    <t>iShares Treasury Bond 20+ UCITS@SELL@-816@3289.3</t>
  </si>
  <si>
    <t>iShares Treasury Bond 20+ UCITS@COST@@-2.66</t>
  </si>
  <si>
    <t>Rent</t>
  </si>
  <si>
    <t>PE</t>
  </si>
  <si>
    <t>iShares Treasury Bond 7-10 UCITS@SELL@-7@1189.79</t>
  </si>
  <si>
    <t>Alloc</t>
  </si>
  <si>
    <t>-474921,74</t>
  </si>
  <si>
    <t>Bruno (tractor)</t>
  </si>
  <si>
    <t>iShares Treasury Bond 20+ UCITS@SELL@-500@2003.03</t>
  </si>
  <si>
    <t>iShares Treasury Bond 20+ UCITS@COST@@-2.4</t>
  </si>
  <si>
    <t>iShares Treasury Bond 20+ UCITS@COST@@-2.2</t>
  </si>
  <si>
    <t>-3,21</t>
  </si>
  <si>
    <t>-474919,74</t>
  </si>
  <si>
    <t>iShares Treasury Bond 20+ UCITS@SELL@-255@1017.88</t>
  </si>
  <si>
    <t>Vanguard S&amp;P 500 UCITS@SELL@-27@1225.15</t>
  </si>
  <si>
    <t>Achat 8 864 ISHSIV-DL T.BD20+YR DL D@4,098 EUR (IE00BSKRJZ44)</t>
  </si>
  <si>
    <t>-36324,67</t>
  </si>
  <si>
    <t>-474916,53</t>
  </si>
  <si>
    <t>@APPROVISIONNEMENT@@-400</t>
  </si>
  <si>
    <t>@COST@@-5</t>
  </si>
  <si>
    <t>Achat 3 911 ISHSIV-DL T.BD20+YR DL D@4,0979 EUR (IE00BSKRJZ44)</t>
  </si>
  <si>
    <t>-16026,89</t>
  </si>
  <si>
    <t>-438591,86</t>
  </si>
  <si>
    <t>@COST@@5</t>
  </si>
  <si>
    <t>11:49</t>
  </si>
  <si>
    <t>@COST@@-565.1</t>
  </si>
  <si>
    <t>-36,45</t>
  </si>
  <si>
    <t>-422564,97</t>
  </si>
  <si>
    <t>e03f3ffb-18f0-4875-8516-9e3005a4fbb0</t>
  </si>
  <si>
    <t>Vanguard S&amp;P 500 UCITS@SELL@-45@2025.81</t>
  </si>
  <si>
    <t>Achat 44 467 ISHSIV-DL T.BD20+YR DL D@4,098 EUR (IE00BSKRJZ44)</t>
  </si>
  <si>
    <t>-182225,77</t>
  </si>
  <si>
    <t>-422528,52</t>
  </si>
  <si>
    <t>Vanguard S&amp;P 500 UCITS@SELL@-10@447.97</t>
  </si>
  <si>
    <t>Vanguard S&amp;P 500 UCITS@SELL@-8@358.38</t>
  </si>
  <si>
    <t>-5,63</t>
  </si>
  <si>
    <t>-240302,76</t>
  </si>
  <si>
    <t>Vanguard S&amp;P 500 UCITS@SELL@-5@223.98</t>
  </si>
  <si>
    <t>Vanguard S&amp;P 500 UCITS@COST@@-3.89</t>
  </si>
  <si>
    <t>Achat 6 874 ISHSIV-DL T.BD20+YR DL D@4,098 EUR (IE00BSKRJZ44)</t>
  </si>
  <si>
    <t>-28169,65</t>
  </si>
  <si>
    <t>-240297,13</t>
  </si>
  <si>
    <t>Vanguard S&amp;P 500 UCITS@SELL@-213@9468.92</t>
  </si>
  <si>
    <t>Vanguard S&amp;P 500 UCITS@COST@@-0.26</t>
  </si>
  <si>
    <t>-212127,48</t>
  </si>
  <si>
    <t>Vanguard S&amp;P 500 UCITS@SELL@-29@1290.09</t>
  </si>
  <si>
    <t>-7,57</t>
  </si>
  <si>
    <t>-212125,48</t>
  </si>
  <si>
    <t>Vanguard S&amp;P 500 UCITS@COST@@-2.01</t>
  </si>
  <si>
    <t>Achat 9 239 ISHSIV-DL T.BD20+YR DL D@4,098 EUR (IE00BSKRJZ44)</t>
  </si>
  <si>
    <t>-37861,42</t>
  </si>
  <si>
    <t>-212117,90</t>
  </si>
  <si>
    <t>Vanguard S&amp;P 500 UCITS@SELL@-1@44.5</t>
  </si>
  <si>
    <t>Vanguard S&amp;P 500 UCITS@DIVIDEND@@-154.79</t>
  </si>
  <si>
    <t>11-04-2019</t>
  </si>
  <si>
    <t>06:50</t>
  </si>
  <si>
    <t>10-04-2019</t>
  </si>
  <si>
    <t>973,13</t>
  </si>
  <si>
    <t>-174256,48</t>
  </si>
  <si>
    <t>Vanguard S&amp;P 500 UCITS@DIVIDEND@@1151.07</t>
  </si>
  <si>
    <t>Capital</t>
  </si>
  <si>
    <t>Boubou</t>
  </si>
  <si>
    <t>Vanguard S&amp;P 500 UCITS@COST@@-2.29</t>
  </si>
  <si>
    <t>1,1274</t>
  </si>
  <si>
    <t>-1098,21</t>
  </si>
  <si>
    <t>Vanguard S&amp;P 500 UCITS@SELL@-34@1453.16</t>
  </si>
  <si>
    <t>Cumul value</t>
  </si>
  <si>
    <t>Movement</t>
  </si>
  <si>
    <t>Current gain</t>
  </si>
  <si>
    <t>Cumul gain</t>
  </si>
  <si>
    <t>iShares Treasury Bond 20+ UCITS@COST@@-2.53</t>
  </si>
  <si>
    <t>07:13</t>
  </si>
  <si>
    <t>1098,21</t>
  </si>
  <si>
    <t>iShares Treasury Bond 20+ UCITS@BUY@666@-2652.35</t>
  </si>
  <si>
    <t>iShares Treasury Bond 7-10 UCITS@BUY@14@-2345.14</t>
  </si>
  <si>
    <t>05-04-2019</t>
  </si>
  <si>
    <t>14:35</t>
  </si>
  <si>
    <t>Vente 30 VANGUARD S&amp;P500@48,75 EUR (IE00B3XXRP09)</t>
  </si>
  <si>
    <t>1462,50</t>
  </si>
  <si>
    <t>-175229,61</t>
  </si>
  <si>
    <t>c019aec1-658b-4798-bada-9aac7ef715e4</t>
  </si>
  <si>
    <t>iShares Treasury Bond 7-10 UCITS@COST@@-2.47</t>
  </si>
  <si>
    <t>iShares Treasury Bond 7-10 UCITS@BUY@14@-2346.26</t>
  </si>
  <si>
    <t>14:27</t>
  </si>
  <si>
    <t>Vente 155 ETFS ALL COMMODIT.@7,44 EUR (GB00B15KY989)</t>
  </si>
  <si>
    <t>1153,20</t>
  </si>
  <si>
    <t>-176692,11</t>
  </si>
  <si>
    <t>4485cc65-1bf0-4785-8895-2210c283e56e</t>
  </si>
  <si>
    <t>iShares Treasury Bond 7-10 UCITS@SELL@-7@1171.73</t>
  </si>
  <si>
    <t>02-04-2019</t>
  </si>
  <si>
    <t>16:31</t>
  </si>
  <si>
    <t>Vente 145 ETFS ALL COMMODIT.@7,432 EUR (GB00B15KY989)</t>
  </si>
  <si>
    <t>1077,64</t>
  </si>
  <si>
    <t>-177845,31</t>
  </si>
  <si>
    <t>706f16b6-b4a3-4269-a599-7761fa31ddef</t>
  </si>
  <si>
    <t>iShares Treasury Bond 7-10 UCITS@COST@@-2.23</t>
  </si>
  <si>
    <t>Vanguard S&amp;P 500 UCITS@SELL@-110@4678.96</t>
  </si>
  <si>
    <t>15:49</t>
  </si>
  <si>
    <t>Vente 220 ETFS ALL COMMODIT.@7,42 EUR (GB00B15KY989)</t>
  </si>
  <si>
    <t>1632,40</t>
  </si>
  <si>
    <t>-178922,95</t>
  </si>
  <si>
    <t>cf9c3fdb-8977-4730-9cff-661b98c5e0b5</t>
  </si>
  <si>
    <t>Vanguard S&amp;P 500 UCITS@COST@@-2.94</t>
  </si>
  <si>
    <t>iShares Treasury Bond 20+ UCITS@COST@@-4.42</t>
  </si>
  <si>
    <t>10:25</t>
  </si>
  <si>
    <t>Vente 200 ETFS ALL COMMODIT.@7,42 EUR (GB00B15KY989)</t>
  </si>
  <si>
    <t>1484,00</t>
  </si>
  <si>
    <t>-180555,35</t>
  </si>
  <si>
    <t>f29c3dc5-dc06-4ed1-a6a5-db10ff7980f6</t>
  </si>
  <si>
    <t>iShares Treasury Bond 20+ UCITS@BUY@3038@-12116.07</t>
  </si>
  <si>
    <t>iShares Treasury Bond 7-10 UCITS@BUY@14@-2345</t>
  </si>
  <si>
    <t>01-04-2019</t>
  </si>
  <si>
    <t>17:09</t>
  </si>
  <si>
    <t>31-03-2019</t>
  </si>
  <si>
    <t>-618,92</t>
  </si>
  <si>
    <t>-182039,35</t>
  </si>
  <si>
    <t>@APPROVISIONNEMENT@@-1500</t>
  </si>
  <si>
    <t>@COST@@-534.69</t>
  </si>
  <si>
    <t>11:21</t>
  </si>
  <si>
    <t>-181420,43</t>
  </si>
  <si>
    <t>ETFS All Commodities ETC@BUY@300@-2046</t>
  </si>
  <si>
    <t>Vanguard S&amp;P 500 UCITS@BUY@74@-3045.1</t>
  </si>
  <si>
    <t>25-03-2019</t>
  </si>
  <si>
    <t>10:23</t>
  </si>
  <si>
    <t>ISH $ TRESU 20+</t>
  </si>
  <si>
    <t>1,1329</t>
  </si>
  <si>
    <t>-61488,70</t>
  </si>
  <si>
    <t>b4ba6bf5-ef1f-4644-ab3b-14dee668001d</t>
  </si>
  <si>
    <t>@COST@@-0.04</t>
  </si>
  <si>
    <t>54273,96</t>
  </si>
  <si>
    <t>-180920,43</t>
  </si>
  <si>
    <t>iShares Treasury Bond 20+ UCITS@DIVIDEND@@-618.490000000001</t>
  </si>
  <si>
    <t>-235194,39</t>
  </si>
  <si>
    <t>iShares Treasury Bond 20+ UCITS@DIVIDEND@@4867.15</t>
  </si>
  <si>
    <t>iShares Treasury Bond 7-10 UCITS@SELL@-2@333.96</t>
  </si>
  <si>
    <t>-10,88</t>
  </si>
  <si>
    <t>-235192,39</t>
  </si>
  <si>
    <t>iShares Treasury Bond 7-10 UCITS@SELL@-5@834.9</t>
  </si>
  <si>
    <t>Vente 13 195 ISH $ TRESU 20+@4,66 USD (IE00BSKRJZ44)</t>
  </si>
  <si>
    <t>iShares Treasury Bond 7-10 UCITS@SELL@-9@1502.55</t>
  </si>
  <si>
    <t>61488,70</t>
  </si>
  <si>
    <t>ETFS Physical Gold@SELL@-11@1172.6</t>
  </si>
  <si>
    <t>10:21</t>
  </si>
  <si>
    <t>1,1330</t>
  </si>
  <si>
    <t>-244631,36</t>
  </si>
  <si>
    <t>ab98d274-11c1-4096-80a8-92e8cab9730e</t>
  </si>
  <si>
    <t>iShares Treasury Bond 20+ UCITS@COST@@-2.28</t>
  </si>
  <si>
    <t>iShares Treasury Bond 20+ UCITS@SELL@-355@1405.1</t>
  </si>
  <si>
    <t>215908,63</t>
  </si>
  <si>
    <t>-235181,51</t>
  </si>
  <si>
    <t>iShares Treasury Bond 20+ UCITS@COST@@-0.55</t>
  </si>
  <si>
    <t>iShares Treasury Bond 20+ UCITS@SELL@-691@2733.44</t>
  </si>
  <si>
    <t>-43,27</t>
  </si>
  <si>
    <t>-451090,14</t>
  </si>
  <si>
    <t>ETFS Physical Gold@SELL@-10@1056.5</t>
  </si>
  <si>
    <t>iShares Treasury Bond 7-10 UCITS@SELL@-10@1665.5</t>
  </si>
  <si>
    <t>Vente 52 496 ISH $ TRESU 20+@4,66 USD (IE00BSKRJZ44)</t>
  </si>
  <si>
    <t>244631,36</t>
  </si>
  <si>
    <t>Vanguard S&amp;P 500 UCITS@BUY@100@-4163</t>
  </si>
  <si>
    <t>Vanguard S&amp;P 500 UCITS@COST@@-2.83</t>
  </si>
  <si>
    <t>-34968,64</t>
  </si>
  <si>
    <t>iShares Treasury Bond 20+ UCITS@COST@@-2.43</t>
  </si>
  <si>
    <t>iShares Treasury Bond 20+ UCITS@SELL@-544@2160.24</t>
  </si>
  <si>
    <t>30865,62</t>
  </si>
  <si>
    <t>-451046,87</t>
  </si>
  <si>
    <t>iShares Treasury Bond 20+ UCITS@COST@@-3.41</t>
  </si>
  <si>
    <t>-481912,49</t>
  </si>
  <si>
    <t>iShares Treasury Bond 20+ UCITS@SELL@-1760@7013.08</t>
  </si>
  <si>
    <t>iShares Treasury Bond 20+ UCITS@COST@@-2.92</t>
  </si>
  <si>
    <t>iShares Treasury Bond 20+ UCITS@SELL@-1177@4613</t>
  </si>
  <si>
    <t>-6,19</t>
  </si>
  <si>
    <t>-481910,49</t>
  </si>
  <si>
    <t>iShares Treasury Bond 7-10 UCITS@SELL@-15@2494.5</t>
  </si>
  <si>
    <t>ETFS Physical Gold@SELL@-10@1048.3</t>
  </si>
  <si>
    <t>Vente 7 504 ISH $ TRESU 20+@4,66 USD (IE00BSKRJZ44)</t>
  </si>
  <si>
    <t>34968,64</t>
  </si>
  <si>
    <t>Vanguard S&amp;P 500 UCITS@BUY@48@-2081.28</t>
  </si>
  <si>
    <t>Vanguard S&amp;P 500 UCITS@COST@@-2.42</t>
  </si>
  <si>
    <t>19-03-2019</t>
  </si>
  <si>
    <t>16:20</t>
  </si>
  <si>
    <t>Vente 22 VANGUARD S&amp;P500@47,68 EUR (IE00B3XXRP09)</t>
  </si>
  <si>
    <t>1048,96</t>
  </si>
  <si>
    <t>-481904,30</t>
  </si>
  <si>
    <t>5ecee4f5-7b96-4ce3-a782-e71a394281e8</t>
  </si>
  <si>
    <t>Vanguard S&amp;P 500 UCITS@BUY@60@-2602.2</t>
  </si>
  <si>
    <t>Vanguard S&amp;P 500 UCITS@COST@@-2.52</t>
  </si>
  <si>
    <t>08-03-2019</t>
  </si>
  <si>
    <t>11:10</t>
  </si>
  <si>
    <t>Achat 185 ETFS ALL COMMODIT.@7,298 EUR (GB00B15KY989)</t>
  </si>
  <si>
    <t>-1350,13</t>
  </si>
  <si>
    <t>-482953,26</t>
  </si>
  <si>
    <t>218cb6d5-14c0-42e4-8aa1-e5fcd5c44859</t>
  </si>
  <si>
    <t>Vanguard S&amp;P 500 UCITS@BUY@88@-3845.6</t>
  </si>
  <si>
    <t>Vanguard S&amp;P 500 UCITS@COST@@-2.77</t>
  </si>
  <si>
    <t>10:57</t>
  </si>
  <si>
    <t>Vente 8 ISHARES US T 7-10@172,6 EUR (IE00B1FZS798)</t>
  </si>
  <si>
    <t>1380,80</t>
  </si>
  <si>
    <t>-481603,13</t>
  </si>
  <si>
    <t>9340703f-dd62-4e52-a0b8-9c7f783ed757</t>
  </si>
  <si>
    <t>Vanguard S&amp;P 500 UCITS@SELL@-190@8434.1</t>
  </si>
  <si>
    <t>Vanguard S&amp;P 500 UCITS@COST@@-3.69</t>
  </si>
  <si>
    <t>10:46</t>
  </si>
  <si>
    <t>1,1222</t>
  </si>
  <si>
    <t>-4095,00</t>
  </si>
  <si>
    <t>1119e254-3bd9-4688-</t>
  </si>
  <si>
    <t>Vanguard S&amp;P 500 UCITS@BUY@91@-4070.88</t>
  </si>
  <si>
    <t>ETFS All Commodities ETC@BUY@255@-1876.04</t>
  </si>
  <si>
    <t>9b48-c2d1e711a418</t>
  </si>
  <si>
    <t>iShares Treasury Bond 20+ UCITS@COST@@-2.31</t>
  </si>
  <si>
    <t>3649,01</t>
  </si>
  <si>
    <t>-482983,93</t>
  </si>
  <si>
    <t>1119e254-3bd9-4688-9b48-c2d1e711a418</t>
  </si>
  <si>
    <t>iShares Treasury Bond 20+ UCITS@SELL@-392@1542.58</t>
  </si>
  <si>
    <t>Vanguard S&amp;P 500 UCITS@BUY@236@-10520.41</t>
  </si>
  <si>
    <t>-486632,94</t>
  </si>
  <si>
    <t>@COST@@-579.07</t>
  </si>
  <si>
    <t>-0,73</t>
  </si>
  <si>
    <t>-486630,94</t>
  </si>
  <si>
    <t>iShares Treasury Bond 7-10 UCITS@DIVIDEND@@-204.87</t>
  </si>
  <si>
    <t>iShares Treasury Bond 7-10 UCITS@COST@@5.07</t>
  </si>
  <si>
    <t>Vente 900 ISH $ TRESU 20+@4,55 USD (IE00BSKRJZ44)</t>
  </si>
  <si>
    <t>4095,00</t>
  </si>
  <si>
    <t>iShares Treasury Bond 7-10 UCITS@DIVIDEND@@1663.14</t>
  </si>
  <si>
    <t>07-03-2019</t>
  </si>
  <si>
    <t>17:29</t>
  </si>
  <si>
    <t>1,1237</t>
  </si>
  <si>
    <t>-45,41</t>
  </si>
  <si>
    <t>fa392e63-1ac0-4035-8c44-5da73152cb5c</t>
  </si>
  <si>
    <t>Vanguard S&amp;P 500 UCITS@SELL@-25@1142.5</t>
  </si>
  <si>
    <t>40,41</t>
  </si>
  <si>
    <t>-486630,21</t>
  </si>
  <si>
    <t>Vanguard S&amp;P 500 UCITS@COST@@-2.23</t>
  </si>
  <si>
    <t>ETFS All Commodities ETC@BUY@214@-1551.5</t>
  </si>
  <si>
    <t>-486670,62</t>
  </si>
  <si>
    <t>iShares Treasury Bond 20+ UCITS@SELL@-300@1145.66</t>
  </si>
  <si>
    <t>-0,01</t>
  </si>
  <si>
    <t>-486668,62</t>
  </si>
  <si>
    <t>iShares Treasury Bond 20+ UCITS@COST@@-0.01</t>
  </si>
  <si>
    <t>Vente 10 ISH $ TRESU 20+@4,541 USD (IE00BSKRJZ44)</t>
  </si>
  <si>
    <t>45,41</t>
  </si>
  <si>
    <t>iShares Treasury Bond 20+ UCITS@COST@@-3.37</t>
  </si>
  <si>
    <t>iShares Treasury Bond 20+ UCITS@SELL@-1798@6827.2</t>
  </si>
  <si>
    <t>06-03-2019</t>
  </si>
  <si>
    <t>15:26</t>
  </si>
  <si>
    <t>Vente 6 ISHARES US T 7-10@169,9 EUR (IE00B1FZS798)</t>
  </si>
  <si>
    <t>1019,40</t>
  </si>
  <si>
    <t>-486668,61</t>
  </si>
  <si>
    <t>4a1ef683-33a7-47d5-baeb-9c58e335a3af</t>
  </si>
  <si>
    <t>iShares Treasury Bond 7-10 UCITS@SELL@-7@1138.83</t>
  </si>
  <si>
    <t>05-03-2019</t>
  </si>
  <si>
    <t>12:51</t>
  </si>
  <si>
    <t>-700,00</t>
  </si>
  <si>
    <t>-487688,01</t>
  </si>
  <si>
    <t>ETFS Physical Gold@SELL@-1@102.84</t>
  </si>
  <si>
    <t>Vanguard S&amp;P 500 UCITS@BUY@60@-2721.72</t>
  </si>
  <si>
    <t>04-03-2019</t>
  </si>
  <si>
    <t>12:43</t>
  </si>
  <si>
    <t>28-02-2019</t>
  </si>
  <si>
    <t>-534,72</t>
  </si>
  <si>
    <t>-486988,01</t>
  </si>
  <si>
    <t>iShares Treasury Bond 7-10 UCITS@BUY@7@-1146.25</t>
  </si>
  <si>
    <t>@APPROVISIONNEMENT@@-300</t>
  </si>
  <si>
    <t>Vente 75 VANGUARD S&amp;P500@47,18 EUR (IE00B3XXRP09)</t>
  </si>
  <si>
    <t>3538,50</t>
  </si>
  <si>
    <t>-486453,29</t>
  </si>
  <si>
    <t>b3e58cc4-8cca-4277-a211-7a501584f648</t>
  </si>
  <si>
    <t>@COST@@-555</t>
  </si>
  <si>
    <t>Vanguard S&amp;P 500 UCITS@BUY@239@-10872.83</t>
  </si>
  <si>
    <t>ETFS All Commodities ETC@BUY@326@-2439.13</t>
  </si>
  <si>
    <t>iShares Treasury Bond 20+ UCITS@COST@@-4.09</t>
  </si>
  <si>
    <t>iShares Treasury Bond 20+ UCITS@BUY@2786@-10463.08</t>
  </si>
  <si>
    <t>iShares Treasury Bond 7-10 UCITS@BUY@16@-2620.96</t>
  </si>
  <si>
    <t>@APPROVISIONNEMENT@@6060</t>
  </si>
  <si>
    <t>iShares Treasury Bond 20+ UCITS@COST@@-2.82</t>
  </si>
  <si>
    <t>iShares Treasury Bond 20+ UCITS@SELL@-1106@4101.58</t>
  </si>
  <si>
    <t>iShares Treasury Bond 7-10 UCITS@SELL@-11@1765.17</t>
  </si>
  <si>
    <t>Vanguard S&amp;P 500 UCITS@BUY@55@-2494.42</t>
  </si>
  <si>
    <t>iShares Treasury Bond 20+ UCITS@SELL@-3258@12076.62</t>
  </si>
  <si>
    <t>ETFS Physical Gold@SELL@-10@1006.1</t>
  </si>
  <si>
    <t>iShares Treasury Bond 7-10 UCITS@SELL@-13@2085.07</t>
  </si>
  <si>
    <t>ETFS All Commodities ETC@SELL@-32@243.42</t>
  </si>
  <si>
    <t>ETFS All Commodities ETC@COST@@-2.05</t>
  </si>
  <si>
    <t>Vanguard S&amp;P 500 UCITS@DIVIDEND@@-136.05</t>
  </si>
  <si>
    <t>Vanguard S&amp;P 500 UCITS@DIVIDEND@@1024.7</t>
  </si>
  <si>
    <t>ETFS Physical Gold@SELL@-9@899.01</t>
  </si>
  <si>
    <t>ETFS All Commodities ETC@SELL@-238@1852.59</t>
  </si>
  <si>
    <t>iShares Treasury Bond 7-10 UCITS@SELL@-5@805.3</t>
  </si>
  <si>
    <t>iShares Treasury Bond 20+ UCITS@COST@@-3.76</t>
  </si>
  <si>
    <t>iShares Treasury Bond 20+ UCITS@BUY@2361@-8808.53</t>
  </si>
  <si>
    <t>@COST@@-501.62</t>
  </si>
  <si>
    <t>Vanguard S&amp;P 500 UCITS@SELL@-30@1418.64</t>
  </si>
  <si>
    <t>ETFS All Commodities ETC@SELL@-225@1658.92</t>
  </si>
  <si>
    <t>ETFS Physical Gold@SELL@-12@1170.36</t>
  </si>
  <si>
    <t>Vanguard S&amp;P 500 UCITS@SELL@-30@1421.55</t>
  </si>
  <si>
    <t>ETFS All Commodities ETC@SELL@-250@1815.25</t>
  </si>
  <si>
    <t>Vanguard S&amp;P 500 UCITS@SELL@-45@2132.37</t>
  </si>
  <si>
    <t>iShares Treasury Bond 20+ UCITS@COST@@-2.54</t>
  </si>
  <si>
    <t>iShares Treasury Bond 20+ UCITS@BUY@717@-2693.88</t>
  </si>
  <si>
    <t>iShares Treasury Bond 20+ UCITS@BUY@525@-2000.72</t>
  </si>
  <si>
    <t>@APPROVISIONNEMENT@@440</t>
  </si>
  <si>
    <t>Vanguard Extended Duration Treasury ETF</t>
  </si>
  <si>
    <t>Vanguard Extended Duration Treasury ETF@DIVIDEND@@-12.85</t>
  </si>
  <si>
    <t>Vanguard Extended Duration Treasury ETF@DIVIDEND@@91.39</t>
  </si>
  <si>
    <t>iShares Treasury Bond 20+ UCITS@BUY@336@-1301.59</t>
  </si>
  <si>
    <t>@COST@@-573.99</t>
  </si>
  <si>
    <t>ETFS Physical Gold@BUY@12@-1180.08</t>
  </si>
  <si>
    <t>ETFS All Commodities ETC@BUY@305@-2214.3</t>
  </si>
  <si>
    <t>iShares Treasury Bond 7-10 UCITS@BUY@8@-1298.72</t>
  </si>
  <si>
    <t>iShares Treasury Bond 20+ UCITS@COST@@-2.39</t>
  </si>
  <si>
    <t>iShares Treasury Bond 20+ UCITS@BUY@500@-1945.61</t>
  </si>
  <si>
    <t>iShares Treasury Bond 20+ UCITS@COST@@-3.15</t>
  </si>
  <si>
    <t>iShares Treasury Bond 20+ UCITS@BUY@1478@-5742.57</t>
  </si>
  <si>
    <t>iShares Treasury Bond 7-10 UCITS@BUY@8@-1297.12</t>
  </si>
  <si>
    <t>iShares Treasury Bond 20+ UCITS@COST@@-2.9</t>
  </si>
  <si>
    <t>iShares Treasury Bond 20+ UCITS@BUY@1154@-4500.42</t>
  </si>
  <si>
    <t>Vanguard S&amp;P 500 UCITS@BUY@84@-3969.17</t>
  </si>
  <si>
    <t>ETFS All Commodities ETC@BUY@443@-3259.59</t>
  </si>
  <si>
    <t>iShares Treasury Bond 7-10 UCITS@BUY@19@-3115.81</t>
  </si>
  <si>
    <t>ETFS Physical Gold@BUY@31@-3080.16</t>
  </si>
  <si>
    <t>@COST@@-467.55</t>
  </si>
  <si>
    <t>iShares Treasury Bond 20+ UCITS@COST@@-5.12</t>
  </si>
  <si>
    <t>iShares Treasury Bond 20+ UCITS@BUY@4074@-15601.5</t>
  </si>
  <si>
    <t>Vanguard S&amp;P 500 UCITS@BUY@226@-10277.8</t>
  </si>
  <si>
    <t>ETFS All Commodities ETC@BUY@203@-1503.01</t>
  </si>
  <si>
    <t>iShares Treasury Bond 7-10 UCITS@BUY@36@-5769.72</t>
  </si>
  <si>
    <t>ETFS Physical Gold@BUY@29@-2893.33</t>
  </si>
  <si>
    <t>iShares Treasury Bond 20+ UCITS@COST@@-25.99</t>
  </si>
  <si>
    <t>iShares Treasury Bond 20+ UCITS@BUY@31102@-119971.61</t>
  </si>
  <si>
    <t>Vanguard S&amp;P 500 UCITS@BUY@1926@-87292.1</t>
  </si>
  <si>
    <t>iShares Treasury Bond 7-10 UCITS@BUY@273@-43912.05</t>
  </si>
  <si>
    <t>ETFS All Commodities ETC@BUY@3336@-24362.81</t>
  </si>
  <si>
    <t>ETFS Physical Gold@BUY@235@-23911.25</t>
  </si>
  <si>
    <t>@APPROVISIONNEMENT@@108000</t>
  </si>
  <si>
    <t>Vanguard S&amp;P 500 UCITS@DIVIDEND@@-72.97</t>
  </si>
  <si>
    <t>@COST@@-276.19</t>
  </si>
  <si>
    <t>Vanguard S&amp;P 500 UCITS@DIVIDEND@@501.26</t>
  </si>
  <si>
    <t>iShares Treasury Bond 20+ UCITS@DIVIDEND@@-0.04</t>
  </si>
  <si>
    <t>iShares Treasury Bond 20+ UCITS@DIVIDEND@@-329.67</t>
  </si>
  <si>
    <t>iShares Treasury Bond 20+ UCITS@DIVIDEND@@2415.73</t>
  </si>
  <si>
    <t>ETFS All Commodities ETC@BUY@897@-6967.9</t>
  </si>
  <si>
    <t>ETFS Physical Gold@BUY@68@-7162.44</t>
  </si>
  <si>
    <t>Vanguard S&amp;P 500 UCITS@BUY@630@-28172.34</t>
  </si>
  <si>
    <t>iShares Treasury Bond 20+ UCITS@COST@@-10.09</t>
  </si>
  <si>
    <t>iShares Treasury Bond 20+ UCITS@BUY@10452@-40435.8</t>
  </si>
  <si>
    <t>iShares Treasury Bond 7-10 UCITS@BUY@93@-14853.03</t>
  </si>
  <si>
    <t>@APPROVISIONNEMENT@@25000</t>
  </si>
  <si>
    <t>@COST@@-161.46</t>
  </si>
  <si>
    <t>ETFS All Commodities ETC@BUY@163@-1271.4</t>
  </si>
  <si>
    <t>iShares Treasury Bond 20+ UCITS@COST@@-3.82</t>
  </si>
  <si>
    <t>iShares Treasury Bond 20+ UCITS@BUY@2338@-9076.29</t>
  </si>
  <si>
    <t>ETFS All Commodities ETC@BUY@479@-3736.68</t>
  </si>
  <si>
    <t>iShares Treasury Bond 7-10 UCITS@BUY@23@-3677.01</t>
  </si>
  <si>
    <t>Vanguard S&amp;P 500 UCITS@BUY@93@-4143.15</t>
  </si>
  <si>
    <t>iShares Treasury Bond 20+ UCITS@COST@@-2.96</t>
  </si>
  <si>
    <t>iShares Treasury Bond 20+ UCITS@BUY@1235@-4793.1</t>
  </si>
  <si>
    <t>Vanguard S&amp;P 500 UCITS@BUY@88@-3919.43</t>
  </si>
  <si>
    <t>iShares Treasury Bond 7-10 UCITS@BUY@13@-2077.66</t>
  </si>
  <si>
    <t>ETFS Physical Gold@BUY@11@-1162.92</t>
  </si>
  <si>
    <t>iShares Treasury Bond 7-10 UCITS@DIVIDEND@@471.2</t>
  </si>
  <si>
    <t>iShares Treasury Bond 7-10 UCITS@DIVIDEND@@-68.59</t>
  </si>
  <si>
    <t>Vanguard Intermediate-Term Treasury ETF</t>
  </si>
  <si>
    <t>Vanguard Intermediate-Term Treasury ETF@DIVIDEND@@-7.01000000000001</t>
  </si>
  <si>
    <t>Vanguard Intermediate-Term Treasury ETF@DIVIDEND@@42.49</t>
  </si>
  <si>
    <t>iShares Treasury Bond 20+ UCITS@COST@@-5.42</t>
  </si>
  <si>
    <t>iShares Treasury Bond 20+ UCITS@BUY@4546@-17125.03</t>
  </si>
  <si>
    <t>iShares Treasury Bond 7-10 UCITS@BUY@19@-3002.19</t>
  </si>
  <si>
    <t>@COST@@-140.97</t>
  </si>
  <si>
    <t>Vanguard Extended Duration Treasury ETF@SELL@-707@65853.53</t>
  </si>
  <si>
    <t>iShares Treasury Bond 20+ UCITS@COST@@-17.04</t>
  </si>
  <si>
    <t>iShares Treasury Bond 20+ UCITS@BUY@20019@-75232.62</t>
  </si>
  <si>
    <t>Vanguard S&amp;P 500 UCITS@BUY@85@-3579.35</t>
  </si>
  <si>
    <t>iShares Treasury Bond 7-10 UCITS@BUY@16@-2530.72</t>
  </si>
  <si>
    <t>ETFS Physical Gold@BUY@39@-4104.36</t>
  </si>
  <si>
    <t>iShares Gold Trust</t>
  </si>
  <si>
    <t>iShares Gold Trust@SELL@-1319@13885.34</t>
  </si>
  <si>
    <t>ETFS Physical Gold@BUY@144@-15143.25</t>
  </si>
  <si>
    <t>ETFS All Commodities ETC@SELL@-180@1361.88</t>
  </si>
  <si>
    <t>Vanguard Intermediate-Term Treasury ETF@COST@@-7.14</t>
  </si>
  <si>
    <t>Vanguard Intermediate-Term Treasury ETF@SELL@-493@25668.61</t>
  </si>
  <si>
    <t>iShares Treasury Bond 7-10 UCITS@BUY@185@-29268.85</t>
  </si>
  <si>
    <t>ETFS All Commodities ETC@SELL@-1893@14104.74</t>
  </si>
  <si>
    <t>Vanguard S&amp;P 500 UCITS@SELL@-449@18845.44</t>
  </si>
  <si>
    <t>Vanguard S&amp;P 500 UCITS@DIVIDEND@@7.05</t>
  </si>
  <si>
    <t>Vanguard Intermediate-Term Treasury ETF@DIVIDEND@@-7.05</t>
  </si>
  <si>
    <t>Vanguard S&amp;P 500 UCITS@DIVIDEND@@-86.57</t>
  </si>
  <si>
    <t>Vanguard Intermediate-Term Treasury ETF@DIVIDEND@@43.62</t>
  </si>
  <si>
    <t>Vanguard S&amp;P 500 UCITS@DIVIDEND@@420.27</t>
  </si>
  <si>
    <t>@COST@@-0.01</t>
  </si>
  <si>
    <t>@COST@@-155.56</t>
  </si>
  <si>
    <t>@COST@@0.03</t>
  </si>
  <si>
    <t>Vanguard Extended Duration Treasury ETF@DIVIDEND@@-89.96</t>
  </si>
  <si>
    <t>Vanguard Extended Duration Treasury ETF@DIVIDEND@@476.2</t>
  </si>
  <si>
    <t>Vanguard Intermediate-Term Treasury ETF@DIVIDEND@@-7.17</t>
  </si>
  <si>
    <t>Vanguard Intermediate-Term Treasury ETF@DIVIDEND@@38.09</t>
  </si>
  <si>
    <t>@COST@@-166.36</t>
  </si>
  <si>
    <t>Vanguard S&amp;P 500 UCITS@SELL@-30@1227.93</t>
  </si>
  <si>
    <t>Vanguard S&amp;P 500 UCITS@SELL@-60@2457.66</t>
  </si>
  <si>
    <t>Vanguard S&amp;P 500 UCITS@SELL@-30@1228.98</t>
  </si>
  <si>
    <t>Vanguard S&amp;P 500 UCITS@SELL@-30@1229.58</t>
  </si>
  <si>
    <t>Vanguard Intermediate-Term Treasury ETF@DIVIDEND@@-7.02</t>
  </si>
  <si>
    <t>Vanguard Intermediate-Term Treasury ETF@DIVIDEND@@37.88</t>
  </si>
  <si>
    <t>Vanguard S&amp;P 500 UCITS@SELL@-77@3229.86</t>
  </si>
  <si>
    <t>Vanguard S&amp;P 500 UCITS@SELL@-98@4117.08</t>
  </si>
  <si>
    <t>Vanguard S&amp;P 500 UCITS@SELL@-240@10048.32</t>
  </si>
  <si>
    <t>Vanguard S&amp;P 500 UCITS@SELL@-38@1590.24</t>
  </si>
  <si>
    <t>Vanguard S&amp;P 500 UCITS@SELL@-30@1253.76</t>
  </si>
  <si>
    <t>Vanguard S&amp;P 500 UCITS@SELL@-45@1881.5</t>
  </si>
  <si>
    <t>Vanguard S&amp;P 500 UCITS@SELL@-50@2089.8</t>
  </si>
  <si>
    <t>Vanguard S&amp;P 500 UCITS@SELL@-20@835.92</t>
  </si>
  <si>
    <t>Vanguard S&amp;P 500 UCITS@COST@@-2.17</t>
  </si>
  <si>
    <t>Vanguard S&amp;P 500 UCITS@SELL@-10@417.96</t>
  </si>
  <si>
    <t>Vanguard S&amp;P 500 UCITS@COST@@-2.08</t>
  </si>
  <si>
    <t>@COST@@0.02</t>
  </si>
  <si>
    <t>@COST@@-193.75</t>
  </si>
  <si>
    <t>@COST@@-7.5</t>
  </si>
  <si>
    <t>ETFS All Commodities ETC@BUY@1375@-10106.25</t>
  </si>
  <si>
    <t>Vanguard S&amp;P 500 UCITS@BUY@937@-40581.47</t>
  </si>
  <si>
    <t>@COST@@0.05</t>
  </si>
  <si>
    <t>ETFS All Commodities ETC@BUY@860@-6359.7</t>
  </si>
  <si>
    <t>Vanguard S&amp;P 500 UCITS@BUY@615@-26713.14</t>
  </si>
  <si>
    <t>Vanguard S&amp;P 500 UCITS@DIVIDEND@@-42.4</t>
  </si>
  <si>
    <t>Vanguard S&amp;P 500 UCITS@DIVIDEND@@259.89</t>
  </si>
  <si>
    <t>@APPROVISIONNEMENT@@30000</t>
  </si>
  <si>
    <t>Vanguard Intermediate-Term Treasury ETF@DIVIDEND@@-132.32</t>
  </si>
  <si>
    <t>@COST@@-127.19</t>
  </si>
  <si>
    <t>Vanguard Extended Duration Treasury ETF@DIVIDEND@@519.88</t>
  </si>
  <si>
    <t>Vanguard Extended Duration Treasury ETF@DIVIDEND@@208.14</t>
  </si>
  <si>
    <t>Vanguard Intermediate-Term Treasury ETF@DIVIDEND@@43.79</t>
  </si>
  <si>
    <t>Vanguard S&amp;P 500 UCITS@SELL@-26@1114.05</t>
  </si>
  <si>
    <t>Vanguard S&amp;P 500 UCITS@COST@@-2.22</t>
  </si>
  <si>
    <t>Vanguard Extended Duration Treasury ETF@BUY@11@-1094.1</t>
  </si>
  <si>
    <t>ETFS All Commodities ETC@BUY@311@-2246.97</t>
  </si>
  <si>
    <t>Vanguard S&amp;P 500 UCITS@BUY@206@-8845.64</t>
  </si>
  <si>
    <t>iShares Gold Trust@BUY@267@-2714.52</t>
  </si>
  <si>
    <t>Vanguard Extended Duration Treasury ETF@BUY@108@-11143.33</t>
  </si>
  <si>
    <t>Vanguard Intermediate-Term Treasury ETF@COST@@-3</t>
  </si>
  <si>
    <t>Vanguard Intermediate-Term Treasury ETF@BUY@92@-5013.47</t>
  </si>
  <si>
    <t>Vanguard Intermediate-Term Treasury ETF@DIVIDEND@@-4.96</t>
  </si>
  <si>
    <t>Vanguard Intermediate-Term Treasury ETF@DIVIDEND@@32.39</t>
  </si>
  <si>
    <t>@COST@@-102.08</t>
  </si>
  <si>
    <t>@APPROVISIONNEMENT@@10000</t>
  </si>
  <si>
    <t>Vanguard Extended Duration Treasury ETF@BUY@10@-1015.59</t>
  </si>
  <si>
    <t>@APPROVISIONNEMENT@@1000</t>
  </si>
  <si>
    <t>Vanguard Intermediate-Term Treasury ETF@DIVIDEND@@-3.92</t>
  </si>
  <si>
    <t>Vanguard Intermediate-Term Treasury ETF@DIVIDEND@@28.53</t>
  </si>
  <si>
    <t>Vanguard S&amp;P 500 UCITS@BUY@48@-2044.75</t>
  </si>
  <si>
    <t>Vanguard Intermediate-Term Treasury ETF@COST@@-2.31</t>
  </si>
  <si>
    <t>ETFS All Commodities ETC@BUY@132@-1013.1</t>
  </si>
  <si>
    <t>Vanguard Extended Duration Treasury ETF@BUY@27@-2798.71</t>
  </si>
  <si>
    <t>iShares Gold Trust@BUY@64@-680.11</t>
  </si>
  <si>
    <t>Vanguard Intermediate-Term Treasury ETF@BUY@28@-1561.34</t>
  </si>
  <si>
    <t>@COST@@-93.75</t>
  </si>
  <si>
    <t>Vanguard Intermediate-Term Treasury ETF@DIVIDEND@@-4.5</t>
  </si>
  <si>
    <t>Vanguard S&amp;P 500 UCITS@DIVIDEND@@-26.14</t>
  </si>
  <si>
    <t>Vanguard Intermediate-Term Treasury ETF@DIVIDEND@@30.34</t>
  </si>
  <si>
    <t>Vanguard S&amp;P 500 UCITS@DIVIDEND@@178.2</t>
  </si>
  <si>
    <t>Vanguard Extended Duration Treasury ETF@DIVIDEND@@-54.04</t>
  </si>
  <si>
    <t>Vanguard Intermediate-Term Treasury ETF@COST@@-2.18</t>
  </si>
  <si>
    <t>Vanguard S&amp;P 500 UCITS@BUY@25@-1021.42</t>
  </si>
  <si>
    <t>ETFS All Commodities ETC@BUY@174@-1253.67</t>
  </si>
  <si>
    <t>Vanguard Extended Duration Treasury ETF@BUY@37@-3682.04</t>
  </si>
  <si>
    <t>iShares Gold Trust@BUY@147@-1534.32</t>
  </si>
  <si>
    <t>Vanguard Intermediate-Term Treasury ETF@BUY@16@-880.09</t>
  </si>
  <si>
    <t>Vanguard Extended Duration Treasury ETF@DIVIDEND@@359.13</t>
  </si>
  <si>
    <t>@COST@@-86.11</t>
  </si>
  <si>
    <t>@APPROVISIONNEMENT@@-2000</t>
  </si>
  <si>
    <t>Vanguard S&amp;P 500 UCITS@BUY@72@-2878.78</t>
  </si>
  <si>
    <t>Vanguard Extended Duration Treasury ETF@BUY@40@-4041.23</t>
  </si>
  <si>
    <t>Vanguard Intermediate-Term Treasury ETF@COST@@-2.32</t>
  </si>
  <si>
    <t>Vanguard Intermediate-Term Treasury ETF@BUY@29@-1581.45</t>
  </si>
  <si>
    <t>@APPROVISIONNEMENT@@8500</t>
  </si>
  <si>
    <t/>
  </si>
  <si>
    <t>@APPROVISIONNEMENT@@-30</t>
  </si>
  <si>
    <t>Vanguard Intermediate-Term Treasury ETF@DIVIDEND@@-4</t>
  </si>
  <si>
    <t>Vanguard Intermediate-Term Treasury ETF@DIVIDEND@@23.49</t>
  </si>
  <si>
    <t>@COST@@-78.9</t>
  </si>
  <si>
    <t>Vanguard S&amp;P 500 UCITS@BUY@57@-2263.53</t>
  </si>
  <si>
    <t>Vanguard Extended Duration Treasury ETF@BUY@23@-2327.77</t>
  </si>
  <si>
    <t>Vanguard Intermediate-Term Treasury ETF@COST@@-0.8</t>
  </si>
  <si>
    <t>Vanguard Intermediate-Term Treasury ETF@BUY@21@-1152.82</t>
  </si>
  <si>
    <t>ETFS All Commodities ETC@BUY@83@-598.84</t>
  </si>
  <si>
    <t>iShares Gold Trust@BUY@26@-278.32</t>
  </si>
  <si>
    <t>Vanguard Intermediate-Term Treasury ETF@DIVIDEND@@-3.14</t>
  </si>
  <si>
    <t>Vanguard Intermediate-Term Treasury ETF@DIVIDEND@@20.91</t>
  </si>
  <si>
    <t>ETFS All Commodities ETC@BUY@67@-475.7</t>
  </si>
  <si>
    <t>Vanguard S&amp;P 500 UCITS@BUY@45@-1783.44</t>
  </si>
  <si>
    <t>@COST@@-66.68</t>
  </si>
  <si>
    <t>Vanguard Extended Duration Treasury ETF@BUY@31@-3080.45</t>
  </si>
  <si>
    <t>Vanguard Intermediate-Term Treasury ETF@BUY@21@-1148.78</t>
  </si>
  <si>
    <t>iShares Gold Trust@BUY@41@-422.98</t>
  </si>
  <si>
    <t>iShares 7-10 Year Treasury Bond ETF</t>
  </si>
  <si>
    <t>iShares 7-10 Year Treasury Bond ETF@DIVIDEND@@-2.54</t>
  </si>
  <si>
    <t>iShares 7-10 Year Treasury Bond ETF@DIVIDEND@@19.77</t>
  </si>
  <si>
    <t>Vanguard Extended Duration Treasury ETF@DIVIDEND@@-31.95</t>
  </si>
  <si>
    <t>Vanguard Extended Duration Treasury ETF@DIVIDEND@@255.04</t>
  </si>
  <si>
    <t>Vanguard Intermediate-Term Treasury ETF@BUY@286@-16285.26</t>
  </si>
  <si>
    <t>Vanguard Intermediate-Term Treasury ETF@COST@@-4.77</t>
  </si>
  <si>
    <t>@COST@@-55.33</t>
  </si>
  <si>
    <t>ETFS All Commodities ETC@BUY@1096@-8220</t>
  </si>
  <si>
    <t>Vanguard S&amp;P 500 UCITS@BUY@804@-32516.18</t>
  </si>
  <si>
    <t>iShares Diversified Commodity Swap UCITS ETF DE</t>
  </si>
  <si>
    <t>iShares Diversified Commodity Swap UCITS ETF DE@SELL@-390@7094.1</t>
  </si>
  <si>
    <t>iShares 7-10 Year Treasury Bond ETF@SELL@-146@13669.24</t>
  </si>
  <si>
    <t>iShares Gold Trust@BUY@122@-1266.54</t>
  </si>
  <si>
    <t>Vanguard Total Stock Market ETF</t>
  </si>
  <si>
    <t>Vanguard Total Stock Market ETF@SELL@-251@27592.74</t>
  </si>
  <si>
    <t>Vanguard Extended Duration Treasury ETF@BUY@67@-6959.73</t>
  </si>
  <si>
    <t>Vanguard Total Stock Market ETF@DIVIDEND@@-14.95</t>
  </si>
  <si>
    <t>Vanguard Total Stock Market ETF@DIVIDEND@@122.68</t>
  </si>
  <si>
    <t>iShares Diversified Commodity Swap UCITS ETF DE@BUY@111@-2007.99</t>
  </si>
  <si>
    <t>Vanguard Total Stock Market ETF@BUY@60@-6721.09</t>
  </si>
  <si>
    <t>iShares 7-10 Year Treasury Bond ETF@BUY@36@-3480.61</t>
  </si>
  <si>
    <t>Vanguard Extended Duration Treasury ETF@BUY@66@-7066.71</t>
  </si>
  <si>
    <t>iShares Gold Trust@BUY@167@-1808.18</t>
  </si>
  <si>
    <t>iShares 7-10 Year Treasury Bond ETF@DIVIDEND@@-1.66</t>
  </si>
  <si>
    <t>iShares 7-10 Year Treasury Bond ETF@DIVIDEND@@15.3</t>
  </si>
  <si>
    <t>@COST@@-30.68</t>
  </si>
  <si>
    <t>Vanguard Extended Duration Treasury ETF@BUY@10@-1015.08</t>
  </si>
  <si>
    <t>@APPROVISIONNEMENT@@30</t>
  </si>
  <si>
    <t>@APPROVISIONNEMENT@@500</t>
  </si>
  <si>
    <t>iShares Diversified Commodity Swap UCITS ETF DE@BUY@98@-1886.5</t>
  </si>
  <si>
    <t>iShares Gold Trust@BUY@195@-2154.76</t>
  </si>
  <si>
    <t>iShares 7-10 Year Treasury Bond ETF@BUY@44@-4295.13</t>
  </si>
  <si>
    <t>Vanguard Total Stock Market ETF@BUY@76@-8554.15</t>
  </si>
  <si>
    <t>Vanguard Extended Duration Treasury ETF@BUY@111@-11568.3</t>
  </si>
  <si>
    <t>iShares Diversified Commodity Swap UCITS ETF DE@BUY@181@-3495.11</t>
  </si>
  <si>
    <t>iShares 7-10 Year Treasury Bond ETF@BUY@66@-6439.03</t>
  </si>
  <si>
    <t>Vanguard Total Stock Market ETF@BUY@115@-12972.31</t>
  </si>
  <si>
    <t>iShares Gold Trust@BUY@290@-3235.89</t>
  </si>
  <si>
    <t>Vanguard Extended Duration Treasury ETF@BUY@166@-17209.62</t>
  </si>
  <si>
    <t>@APPROVISIONNEMENT@@43355.53</t>
  </si>
  <si>
    <t>@APPROVISIONNEMENT@@1</t>
  </si>
  <si>
    <t>@COST@@6.89</t>
  </si>
  <si>
    <t>TOTAL GABON</t>
  </si>
  <si>
    <t>EDF</t>
  </si>
  <si>
    <t>BOUYGUES</t>
  </si>
  <si>
    <t>TECHNIP</t>
  </si>
  <si>
    <t>STMICROELECTRONICS</t>
  </si>
  <si>
    <t>ALSTOM REGROUPT</t>
  </si>
  <si>
    <t>ANF IMMOBILIER</t>
  </si>
  <si>
    <t>SANOFI</t>
  </si>
  <si>
    <t>UNIBAIL RODAMCO SE</t>
  </si>
  <si>
    <t>ORANGE</t>
  </si>
  <si>
    <t>GDF SUEZ</t>
  </si>
  <si>
    <t>ABC ARBITRAGE</t>
  </si>
  <si>
    <t>TOTAL SA</t>
  </si>
  <si>
    <t>FRANCE TELECOM</t>
  </si>
  <si>
    <t>VIVENDI</t>
  </si>
  <si>
    <t>PEUGEOT</t>
  </si>
  <si>
    <t>CREDIT AGRICOLE</t>
  </si>
  <si>
    <t>VEOLIA ENVIRON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</si>
</sst>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1">
    <numFmt numFmtId="164" formatCode="#,##0.00##\ [$€-1]"/>
    <numFmt numFmtId="165" formatCode="#,##0.00 €"/>
    <numFmt numFmtId="166" formatCode="M/d/yyyy H:mm:ss"/>
    <numFmt numFmtId="167" formatCode="M/d/yyyy"/>
    <numFmt numFmtId="168" formatCode="0.000"/>
    <numFmt numFmtId="169" formatCode="#,##0.00\ [$€-1]"/>
    <numFmt numFmtId="170" formatCode="dd&quot;/&quot;mm&quot;/&quot;yyyy"/>
    <numFmt numFmtId="171" formatCode="#,##0.000 €"/>
    <numFmt numFmtId="172" formatCode="dd&quot;/&quot;mm&quot;/&quot;yyyy&quot; &quot;h&quot;:&quot;mm&quot;:&quot;ss"/>
    <numFmt numFmtId="173" formatCode="m/d/yyyy h:mm:ss"/>
    <numFmt numFmtId="174" formatCode="h:mm:ss am/pm"/>
    <numFmt numFmtId="175" formatCode="0.000%"/>
    <numFmt numFmtId="176" formatCode="0.0"/>
    <numFmt numFmtId="177" formatCode="dd/MM/yyyy"/>
    <numFmt numFmtId="178" formatCode="0.0 &quot;months&quot;"/>
    <numFmt numFmtId="179" formatCode="0.0%"/>
    <numFmt numFmtId="180" formatCode="#,##0.0000"/>
    <numFmt numFmtId="181" formatCode="#,##0.00#\ [$€-1]"/>
    <numFmt numFmtId="182" formatCode="#,##0.0000000\ [$€-1]"/>
    <numFmt numFmtId="183" formatCode="mm&quot;/&quot;yyyy"/>
    <numFmt numFmtId="184" formatCode="#,##0.00&quot;€&quot;"/>
  </numFmts>
  <fonts count="25">
    <font>
      <sz val="10.0"/>
      <color rgb="FF000000"/>
      <name val="Arial"/>
    </font>
    <font>
      <b/>
      <i/>
    </font>
    <font>
      <b/>
    </font>
    <font/>
    <font>
      <b/>
      <i/>
      <name val="Arial"/>
    </font>
    <font>
      <name val="Arial"/>
    </font>
    <font>
      <i/>
      <sz val="11.0"/>
    </font>
    <font>
      <sz val="11.0"/>
    </font>
    <font>
      <i/>
      <sz val="11.0"/>
      <color rgb="FF000000"/>
    </font>
    <font>
      <sz val="11.0"/>
      <color rgb="FF000000"/>
    </font>
    <font>
      <i/>
      <sz val="11.0"/>
      <name val="Arial"/>
    </font>
    <font>
      <i/>
      <sz val="11.0"/>
      <color rgb="FF000000"/>
      <name val="Arial"/>
    </font>
    <font>
      <u/>
      <sz val="11.0"/>
      <color rgb="FF0000FF"/>
    </font>
    <font>
      <b/>
      <name val="Arial"/>
    </font>
    <font>
      <sz val="10.0"/>
    </font>
    <font>
      <b/>
      <color rgb="FF000000"/>
    </font>
    <font>
      <sz val="10.0"/>
      <color rgb="FFFFFFFF"/>
      <name val="Inconsolata"/>
    </font>
    <font>
      <sz val="10.0"/>
      <color rgb="FFFFFFFF"/>
    </font>
    <font>
      <i/>
      <sz val="9.0"/>
      <color rgb="FF333333"/>
      <name val="Arial"/>
    </font>
    <font>
      <sz val="9.0"/>
      <color rgb="FF333333"/>
      <name val="Arial"/>
    </font>
    <font>
      <b/>
      <sz val="9.0"/>
      <color rgb="FF333333"/>
      <name val="Arial"/>
    </font>
    <font>
      <color rgb="FF000000"/>
      <name val="Arial"/>
    </font>
    <font>
      <b/>
      <i/>
      <sz val="10.0"/>
    </font>
    <font>
      <b/>
      <sz val="10.0"/>
    </font>
    <font>
      <color rgb="FF000000"/>
      <name val="Roboto"/>
    </font>
  </fonts>
  <fills count="22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  <fill>
      <patternFill patternType="solid">
        <fgColor rgb="FFEFEFEF"/>
        <bgColor rgb="FFEFEFEF"/>
      </patternFill>
    </fill>
    <fill>
      <patternFill patternType="solid">
        <fgColor rgb="FFD9D9D9"/>
        <bgColor rgb="FFD9D9D9"/>
      </patternFill>
    </fill>
    <fill>
      <patternFill patternType="solid">
        <fgColor rgb="FFA4C2F4"/>
        <bgColor rgb="FFA4C2F4"/>
      </patternFill>
    </fill>
    <fill>
      <patternFill patternType="solid">
        <fgColor rgb="FFD9EAD3"/>
        <bgColor rgb="FFD9EAD3"/>
      </patternFill>
    </fill>
    <fill>
      <patternFill patternType="solid">
        <fgColor rgb="FFFFF2CC"/>
        <bgColor rgb="FFFFF2CC"/>
      </patternFill>
    </fill>
    <fill>
      <patternFill patternType="solid">
        <fgColor rgb="FFD9D2E9"/>
        <bgColor rgb="FFD9D2E9"/>
      </patternFill>
    </fill>
    <fill>
      <patternFill patternType="solid">
        <fgColor rgb="FFEAD1DC"/>
        <bgColor rgb="FFEAD1DC"/>
      </patternFill>
    </fill>
    <fill>
      <patternFill patternType="solid">
        <fgColor rgb="FFE6B8AF"/>
        <bgColor rgb="FFE6B8AF"/>
      </patternFill>
    </fill>
    <fill>
      <patternFill patternType="solid">
        <fgColor rgb="FF9FC5E8"/>
        <bgColor rgb="FF9FC5E8"/>
      </patternFill>
    </fill>
    <fill>
      <patternFill patternType="solid">
        <fgColor rgb="FFB6D7A8"/>
        <bgColor rgb="FFB6D7A8"/>
      </patternFill>
    </fill>
    <fill>
      <patternFill patternType="solid">
        <fgColor rgb="FFFFE599"/>
        <bgColor rgb="FFFFE599"/>
      </patternFill>
    </fill>
    <fill>
      <patternFill patternType="solid">
        <fgColor rgb="FFEA9999"/>
        <bgColor rgb="FFEA9999"/>
      </patternFill>
    </fill>
    <fill>
      <patternFill patternType="solid">
        <fgColor rgb="FFFF00FF"/>
        <bgColor rgb="FFFF00FF"/>
      </patternFill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  <fill>
      <patternFill patternType="solid">
        <fgColor rgb="FFF4CCCC"/>
        <bgColor rgb="FFF4CCCC"/>
      </patternFill>
    </fill>
    <fill>
      <patternFill patternType="solid">
        <fgColor rgb="FFFCE5CD"/>
        <bgColor rgb="FFFCE5CD"/>
      </patternFill>
    </fill>
    <fill>
      <patternFill patternType="solid">
        <fgColor rgb="FFCFE2F3"/>
        <bgColor rgb="FFCFE2F3"/>
      </patternFill>
    </fill>
    <fill>
      <patternFill patternType="solid">
        <fgColor rgb="FFB7E1CD"/>
        <bgColor rgb="FFB7E1CD"/>
      </patternFill>
    </fill>
  </fills>
  <borders count="7">
    <border/>
    <border>
      <right style="thin">
        <color rgb="FF000000"/>
      </right>
      <top style="thin">
        <color rgb="FF000000"/>
      </top>
    </border>
    <border>
      <top style="thin">
        <color rgb="FF000000"/>
      </top>
    </border>
    <border>
      <right style="thin">
        <color rgb="FF000000"/>
      </right>
    </border>
    <border>
      <left style="thin">
        <color rgb="FF000000"/>
      </left>
    </border>
    <border>
      <bottom style="thin">
        <color rgb="FF000000"/>
      </bottom>
    </border>
    <border>
      <left style="thin">
        <color rgb="FF000000"/>
      </left>
      <top style="thin">
        <color rgb="FF000000"/>
      </top>
    </border>
  </borders>
  <cellStyleXfs count="1">
    <xf borderId="0" fillId="0" fontId="0" numFmtId="0" applyAlignment="1" applyFont="1"/>
  </cellStyleXfs>
  <cellXfs count="339">
    <xf borderId="0" fillId="0" fontId="0" numFmtId="0" xfId="0" applyAlignment="1" applyFont="1">
      <alignment readingOrder="0" shrinkToFit="0" vertical="bottom" wrapText="1"/>
    </xf>
    <xf borderId="0" fillId="2" fontId="1" numFmtId="0" xfId="0" applyAlignment="1" applyFill="1" applyFont="1">
      <alignment horizontal="center" readingOrder="0" shrinkToFit="0" wrapText="1"/>
    </xf>
    <xf borderId="1" fillId="0" fontId="2" numFmtId="0" xfId="0" applyAlignment="1" applyBorder="1" applyFont="1">
      <alignment horizontal="center" readingOrder="0" shrinkToFit="0" wrapText="1"/>
    </xf>
    <xf borderId="0" fillId="2" fontId="1" numFmtId="0" xfId="0" applyAlignment="1" applyFont="1">
      <alignment horizontal="center" readingOrder="0" shrinkToFit="0" wrapText="0"/>
    </xf>
    <xf borderId="2" fillId="3" fontId="3" numFmtId="0" xfId="0" applyAlignment="1" applyBorder="1" applyFill="1" applyFont="1">
      <alignment horizontal="center" shrinkToFit="0" wrapText="1"/>
    </xf>
    <xf borderId="0" fillId="2" fontId="1" numFmtId="164" xfId="0" applyAlignment="1" applyFont="1" applyNumberFormat="1">
      <alignment horizontal="center" readingOrder="0" shrinkToFit="0" wrapText="1"/>
    </xf>
    <xf borderId="3" fillId="0" fontId="2" numFmtId="0" xfId="0" applyAlignment="1" applyBorder="1" applyFont="1">
      <alignment horizontal="center" readingOrder="0" shrinkToFit="0" wrapText="1"/>
    </xf>
    <xf borderId="0" fillId="2" fontId="1" numFmtId="165" xfId="0" applyAlignment="1" applyFont="1" applyNumberFormat="1">
      <alignment horizontal="center" readingOrder="0" shrinkToFit="0" wrapText="1"/>
    </xf>
    <xf borderId="0" fillId="3" fontId="3" numFmtId="0" xfId="0" applyAlignment="1" applyFont="1">
      <alignment horizontal="center" shrinkToFit="0" wrapText="1"/>
    </xf>
    <xf borderId="0" fillId="2" fontId="1" numFmtId="165" xfId="0" applyAlignment="1" applyFont="1" applyNumberFormat="1">
      <alignment horizontal="center" readingOrder="0" shrinkToFit="0" wrapText="0"/>
    </xf>
    <xf borderId="0" fillId="0" fontId="3" numFmtId="49" xfId="0" applyAlignment="1" applyFont="1" applyNumberFormat="1">
      <alignment readingOrder="0" shrinkToFit="0" wrapText="1"/>
    </xf>
    <xf borderId="0" fillId="3" fontId="3" numFmtId="0" xfId="0" applyAlignment="1" applyFont="1">
      <alignment horizontal="center" readingOrder="0" shrinkToFit="0" wrapText="1"/>
    </xf>
    <xf borderId="0" fillId="0" fontId="3" numFmtId="49" xfId="0" applyAlignment="1" applyFont="1" applyNumberFormat="1">
      <alignment readingOrder="0" shrinkToFit="0" wrapText="0"/>
    </xf>
    <xf borderId="2" fillId="0" fontId="2" numFmtId="0" xfId="0" applyAlignment="1" applyBorder="1" applyFont="1">
      <alignment horizontal="center" readingOrder="0" shrinkToFit="0" wrapText="1"/>
    </xf>
    <xf borderId="4" fillId="2" fontId="3" numFmtId="0" xfId="0" applyAlignment="1" applyBorder="1" applyFont="1">
      <alignment shrinkToFit="0" wrapText="1"/>
    </xf>
    <xf borderId="0" fillId="2" fontId="3" numFmtId="49" xfId="0" applyAlignment="1" applyFont="1" applyNumberFormat="1">
      <alignment readingOrder="0" shrinkToFit="0" wrapText="1"/>
    </xf>
    <xf borderId="0" fillId="2" fontId="4" numFmtId="166" xfId="0" applyAlignment="1" applyFont="1" applyNumberFormat="1">
      <alignment horizontal="center" shrinkToFit="0" vertical="bottom" wrapText="1"/>
    </xf>
    <xf borderId="0" fillId="2" fontId="4" numFmtId="167" xfId="0" applyAlignment="1" applyFont="1" applyNumberFormat="1">
      <alignment horizontal="center" shrinkToFit="0" vertical="bottom" wrapText="1"/>
    </xf>
    <xf borderId="0" fillId="0" fontId="3" numFmtId="0" xfId="0" applyAlignment="1" applyFont="1">
      <alignment horizontal="center" readingOrder="0" shrinkToFit="0" wrapText="1"/>
    </xf>
    <xf borderId="0" fillId="2" fontId="4" numFmtId="49" xfId="0" applyAlignment="1" applyFont="1" applyNumberFormat="1">
      <alignment horizontal="center" readingOrder="0" shrinkToFit="0" vertical="bottom" wrapText="1"/>
    </xf>
    <xf borderId="0" fillId="2" fontId="4" numFmtId="49" xfId="0" applyAlignment="1" applyFont="1" applyNumberFormat="1">
      <alignment horizontal="center" readingOrder="0" shrinkToFit="0" vertical="bottom" wrapText="0"/>
    </xf>
    <xf borderId="0" fillId="2" fontId="4" numFmtId="168" xfId="0" applyAlignment="1" applyFont="1" applyNumberFormat="1">
      <alignment horizontal="center" shrinkToFit="0" vertical="bottom" wrapText="1"/>
    </xf>
    <xf borderId="0" fillId="2" fontId="4" numFmtId="169" xfId="0" applyAlignment="1" applyFont="1" applyNumberFormat="1">
      <alignment horizontal="center" shrinkToFit="0" vertical="bottom" wrapText="1"/>
    </xf>
    <xf borderId="0" fillId="2" fontId="5" numFmtId="165" xfId="0" applyAlignment="1" applyFont="1" applyNumberFormat="1">
      <alignment shrinkToFit="0" vertical="bottom" wrapText="0"/>
    </xf>
    <xf borderId="0" fillId="0" fontId="3" numFmtId="170" xfId="0" applyAlignment="1" applyFont="1" applyNumberFormat="1">
      <alignment readingOrder="0" shrinkToFit="0" wrapText="1"/>
    </xf>
    <xf borderId="0" fillId="0" fontId="3" numFmtId="169" xfId="0" applyAlignment="1" applyFont="1" applyNumberFormat="1">
      <alignment readingOrder="0" shrinkToFit="0" wrapText="1"/>
    </xf>
    <xf borderId="0" fillId="2" fontId="5" numFmtId="49" xfId="0" applyAlignment="1" applyFont="1" applyNumberFormat="1">
      <alignment shrinkToFit="0" vertical="bottom" wrapText="0"/>
    </xf>
    <xf borderId="0" fillId="2" fontId="3" numFmtId="49" xfId="0" applyAlignment="1" applyFont="1" applyNumberFormat="1">
      <alignment readingOrder="0" shrinkToFit="0" wrapText="0"/>
    </xf>
    <xf borderId="0" fillId="0" fontId="3" numFmtId="10" xfId="0" applyAlignment="1" applyFont="1" applyNumberFormat="1">
      <alignment readingOrder="0" shrinkToFit="0" wrapText="1"/>
    </xf>
    <xf borderId="4" fillId="4" fontId="3" numFmtId="0" xfId="0" applyAlignment="1" applyBorder="1" applyFill="1" applyFont="1">
      <alignment shrinkToFit="0" wrapText="1"/>
    </xf>
    <xf borderId="0" fillId="0" fontId="3" numFmtId="0" xfId="0" applyAlignment="1" applyFont="1">
      <alignment readingOrder="0" shrinkToFit="0" wrapText="1"/>
    </xf>
    <xf borderId="0" fillId="4" fontId="3" numFmtId="4" xfId="0" applyAlignment="1" applyFont="1" applyNumberFormat="1">
      <alignment shrinkToFit="0" wrapText="1"/>
    </xf>
    <xf borderId="0" fillId="0" fontId="3" numFmtId="169" xfId="0" applyAlignment="1" applyFont="1" applyNumberFormat="1">
      <alignment shrinkToFit="0" wrapText="1"/>
    </xf>
    <xf borderId="0" fillId="4" fontId="3" numFmtId="166" xfId="0" applyAlignment="1" applyFont="1" applyNumberFormat="1">
      <alignment readingOrder="0" shrinkToFit="0" wrapText="1"/>
    </xf>
    <xf borderId="0" fillId="4" fontId="3" numFmtId="167" xfId="0" applyAlignment="1" applyFont="1" applyNumberFormat="1">
      <alignment readingOrder="0" shrinkToFit="0" wrapText="1"/>
    </xf>
    <xf borderId="0" fillId="4" fontId="3" numFmtId="0" xfId="0" applyAlignment="1" applyFont="1">
      <alignment shrinkToFit="0" wrapText="1"/>
    </xf>
    <xf borderId="0" fillId="4" fontId="3" numFmtId="0" xfId="0" applyAlignment="1" applyFont="1">
      <alignment shrinkToFit="0" wrapText="0"/>
    </xf>
    <xf borderId="0" fillId="4" fontId="3" numFmtId="3" xfId="0" applyAlignment="1" applyFont="1" applyNumberFormat="1">
      <alignment shrinkToFit="0" wrapText="1"/>
    </xf>
    <xf borderId="0" fillId="4" fontId="3" numFmtId="168" xfId="0" applyAlignment="1" applyFont="1" applyNumberFormat="1">
      <alignment shrinkToFit="0" wrapText="1"/>
    </xf>
    <xf borderId="4" fillId="4" fontId="3" numFmtId="0" xfId="0" applyAlignment="1" applyBorder="1" applyFont="1">
      <alignment shrinkToFit="0" wrapText="0"/>
    </xf>
    <xf borderId="0" fillId="4" fontId="3" numFmtId="49" xfId="0" applyAlignment="1" applyFont="1" applyNumberFormat="1">
      <alignment shrinkToFit="0" wrapText="0"/>
    </xf>
    <xf borderId="0" fillId="4" fontId="3" numFmtId="0" xfId="0" applyAlignment="1" applyFont="1">
      <alignment shrinkToFit="0" wrapText="0"/>
    </xf>
    <xf borderId="0" fillId="2" fontId="1" numFmtId="167" xfId="0" applyAlignment="1" applyFont="1" applyNumberFormat="1">
      <alignment horizontal="center" readingOrder="0" shrinkToFit="0" wrapText="1"/>
    </xf>
    <xf borderId="0" fillId="2" fontId="1" numFmtId="49" xfId="0" applyAlignment="1" applyFont="1" applyNumberFormat="1">
      <alignment horizontal="center" readingOrder="0" shrinkToFit="0" wrapText="1"/>
    </xf>
    <xf borderId="0" fillId="2" fontId="1" numFmtId="49" xfId="0" applyAlignment="1" applyFont="1" applyNumberFormat="1">
      <alignment horizontal="center" readingOrder="0" shrinkToFit="0" wrapText="0"/>
    </xf>
    <xf borderId="0" fillId="2" fontId="1" numFmtId="171" xfId="0" applyAlignment="1" applyFont="1" applyNumberFormat="1">
      <alignment horizontal="center" readingOrder="0" shrinkToFit="0" wrapText="1"/>
    </xf>
    <xf borderId="0" fillId="2" fontId="1" numFmtId="169" xfId="0" applyAlignment="1" applyFont="1" applyNumberFormat="1">
      <alignment horizontal="center" readingOrder="0" shrinkToFit="0" wrapText="1"/>
    </xf>
    <xf borderId="0" fillId="0" fontId="3" numFmtId="167" xfId="0" applyAlignment="1" applyFont="1" applyNumberFormat="1">
      <alignment readingOrder="0" shrinkToFit="0" wrapText="1"/>
    </xf>
    <xf borderId="0" fillId="0" fontId="3" numFmtId="0" xfId="0" applyAlignment="1" applyFont="1">
      <alignment shrinkToFit="0" wrapText="0"/>
    </xf>
    <xf borderId="0" fillId="0" fontId="3" numFmtId="3" xfId="0" applyAlignment="1" applyFont="1" applyNumberFormat="1">
      <alignment shrinkToFit="0" wrapText="1"/>
    </xf>
    <xf borderId="0" fillId="0" fontId="3" numFmtId="3" xfId="0" applyAlignment="1" applyFont="1" applyNumberFormat="1">
      <alignment readingOrder="0" shrinkToFit="0" wrapText="1"/>
    </xf>
    <xf borderId="0" fillId="0" fontId="3" numFmtId="171" xfId="0" applyAlignment="1" applyFont="1" applyNumberFormat="1">
      <alignment readingOrder="0" shrinkToFit="0" wrapText="1"/>
    </xf>
    <xf borderId="0" fillId="0" fontId="3" numFmtId="165" xfId="0" applyAlignment="1" applyFont="1" applyNumberFormat="1">
      <alignment readingOrder="0" shrinkToFit="0" wrapText="1"/>
    </xf>
    <xf borderId="0" fillId="0" fontId="3" numFmtId="0" xfId="0" applyAlignment="1" applyFont="1">
      <alignment shrinkToFit="0" wrapText="0"/>
    </xf>
    <xf borderId="0" fillId="4" fontId="3" numFmtId="49" xfId="0" applyAlignment="1" applyFont="1" applyNumberFormat="1">
      <alignment readingOrder="0" shrinkToFit="0" wrapText="0"/>
    </xf>
    <xf borderId="0" fillId="0" fontId="3" numFmtId="0" xfId="0" applyAlignment="1" applyFont="1">
      <alignment readingOrder="0" shrinkToFit="0" wrapText="1"/>
    </xf>
    <xf borderId="0" fillId="5" fontId="1" numFmtId="169" xfId="0" applyAlignment="1" applyFill="1" applyFont="1" applyNumberFormat="1">
      <alignment horizontal="center" readingOrder="0" shrinkToFit="0" wrapText="1"/>
    </xf>
    <xf borderId="0" fillId="0" fontId="2" numFmtId="3" xfId="0" applyAlignment="1" applyFont="1" applyNumberFormat="1">
      <alignment shrinkToFit="0" wrapText="1"/>
    </xf>
    <xf borderId="0" fillId="0" fontId="2" numFmtId="3" xfId="0" applyAlignment="1" applyFont="1" applyNumberFormat="1">
      <alignment readingOrder="0" shrinkToFit="0" wrapText="1"/>
    </xf>
    <xf borderId="0" fillId="0" fontId="2" numFmtId="172" xfId="0" applyAlignment="1" applyFont="1" applyNumberFormat="1">
      <alignment readingOrder="0" shrinkToFit="0" wrapText="1"/>
    </xf>
    <xf borderId="0" fillId="0" fontId="1" numFmtId="0" xfId="0" applyAlignment="1" applyFont="1">
      <alignment readingOrder="0" shrinkToFit="0" wrapText="1"/>
    </xf>
    <xf borderId="0" fillId="0" fontId="3" numFmtId="173" xfId="0" applyAlignment="1" applyFont="1" applyNumberFormat="1">
      <alignment shrinkToFit="0" wrapText="1"/>
    </xf>
    <xf borderId="0" fillId="0" fontId="3" numFmtId="167" xfId="0" applyAlignment="1" applyFont="1" applyNumberFormat="1">
      <alignment shrinkToFit="0" wrapText="1"/>
    </xf>
    <xf borderId="0" fillId="0" fontId="3" numFmtId="174" xfId="0" applyAlignment="1" applyFont="1" applyNumberFormat="1">
      <alignment shrinkToFit="0" wrapText="1"/>
    </xf>
    <xf borderId="2" fillId="0" fontId="1" numFmtId="0" xfId="0" applyAlignment="1" applyBorder="1" applyFont="1">
      <alignment readingOrder="0" shrinkToFit="0" wrapText="1"/>
    </xf>
    <xf borderId="2" fillId="0" fontId="3" numFmtId="0" xfId="0" applyAlignment="1" applyBorder="1" applyFont="1">
      <alignment readingOrder="0" shrinkToFit="0" wrapText="1"/>
    </xf>
    <xf borderId="0" fillId="0" fontId="3" numFmtId="19" xfId="0" applyAlignment="1" applyFont="1" applyNumberFormat="1">
      <alignment readingOrder="0" shrinkToFit="0" wrapText="1"/>
    </xf>
    <xf borderId="2" fillId="2" fontId="6" numFmtId="0" xfId="0" applyAlignment="1" applyBorder="1" applyFont="1">
      <alignment readingOrder="0" shrinkToFit="0" wrapText="1"/>
    </xf>
    <xf borderId="2" fillId="2" fontId="7" numFmtId="165" xfId="0" applyAlignment="1" applyBorder="1" applyFont="1" applyNumberFormat="1">
      <alignment shrinkToFit="0" wrapText="1"/>
    </xf>
    <xf borderId="0" fillId="2" fontId="8" numFmtId="0" xfId="0" applyAlignment="1" applyFont="1">
      <alignment readingOrder="0" shrinkToFit="0" vertical="bottom" wrapText="0"/>
    </xf>
    <xf borderId="0" fillId="2" fontId="9" numFmtId="10" xfId="0" applyAlignment="1" applyFont="1" applyNumberFormat="1">
      <alignment readingOrder="0" shrinkToFit="0" vertical="bottom" wrapText="0"/>
    </xf>
    <xf borderId="0" fillId="2" fontId="6" numFmtId="0" xfId="0" applyAlignment="1" applyFont="1">
      <alignment readingOrder="0" shrinkToFit="0" wrapText="1"/>
    </xf>
    <xf borderId="0" fillId="2" fontId="7" numFmtId="165" xfId="0" applyAlignment="1" applyFont="1" applyNumberFormat="1">
      <alignment shrinkToFit="0" wrapText="1"/>
    </xf>
    <xf borderId="0" fillId="2" fontId="7" numFmtId="10" xfId="0" applyAlignment="1" applyFont="1" applyNumberFormat="1">
      <alignment shrinkToFit="0" wrapText="1"/>
    </xf>
    <xf borderId="0" fillId="2" fontId="7" numFmtId="165" xfId="0" applyAlignment="1" applyFont="1" applyNumberFormat="1">
      <alignment readingOrder="0" shrinkToFit="0" wrapText="1"/>
    </xf>
    <xf borderId="0" fillId="2" fontId="7" numFmtId="0" xfId="0" applyAlignment="1" applyFont="1">
      <alignment horizontal="right" shrinkToFit="0" vertical="bottom" wrapText="1"/>
    </xf>
    <xf borderId="0" fillId="2" fontId="7" numFmtId="0" xfId="0" applyAlignment="1" applyFont="1">
      <alignment horizontal="right" shrinkToFit="0" wrapText="1"/>
    </xf>
    <xf borderId="0" fillId="2" fontId="7" numFmtId="3" xfId="0" applyAlignment="1" applyFont="1" applyNumberFormat="1">
      <alignment horizontal="right" shrinkToFit="0" vertical="bottom" wrapText="1"/>
    </xf>
    <xf borderId="2" fillId="6" fontId="8" numFmtId="0" xfId="0" applyAlignment="1" applyBorder="1" applyFill="1" applyFont="1">
      <alignment readingOrder="0" shrinkToFit="0" vertical="bottom" wrapText="0"/>
    </xf>
    <xf borderId="2" fillId="6" fontId="9" numFmtId="165" xfId="0" applyAlignment="1" applyBorder="1" applyFont="1" applyNumberFormat="1">
      <alignment readingOrder="0" shrinkToFit="0" vertical="bottom" wrapText="0"/>
    </xf>
    <xf borderId="0" fillId="6" fontId="8" numFmtId="0" xfId="0" applyAlignment="1" applyFont="1">
      <alignment readingOrder="0" shrinkToFit="0" vertical="bottom" wrapText="0"/>
    </xf>
    <xf borderId="0" fillId="6" fontId="9" numFmtId="165" xfId="0" applyAlignment="1" applyFont="1" applyNumberFormat="1">
      <alignment readingOrder="0" shrinkToFit="0" vertical="bottom" wrapText="0"/>
    </xf>
    <xf borderId="0" fillId="6" fontId="6" numFmtId="0" xfId="0" applyAlignment="1" applyFont="1">
      <alignment readingOrder="0" shrinkToFit="0" wrapText="1"/>
    </xf>
    <xf borderId="0" fillId="6" fontId="7" numFmtId="10" xfId="0" applyAlignment="1" applyFont="1" applyNumberFormat="1">
      <alignment shrinkToFit="0" wrapText="1"/>
    </xf>
    <xf borderId="0" fillId="6" fontId="7" numFmtId="165" xfId="0" applyAlignment="1" applyFont="1" applyNumberFormat="1">
      <alignment shrinkToFit="0" wrapText="1"/>
    </xf>
    <xf borderId="0" fillId="6" fontId="7" numFmtId="165" xfId="0" applyAlignment="1" applyFont="1" applyNumberFormat="1">
      <alignment readingOrder="0" shrinkToFit="0" wrapText="1"/>
    </xf>
    <xf borderId="0" fillId="6" fontId="7" numFmtId="169" xfId="0" applyAlignment="1" applyFont="1" applyNumberFormat="1">
      <alignment shrinkToFit="0" wrapText="1"/>
    </xf>
    <xf borderId="0" fillId="6" fontId="7" numFmtId="165" xfId="0" applyAlignment="1" applyFont="1" applyNumberFormat="1">
      <alignment horizontal="right" readingOrder="0" shrinkToFit="0" wrapText="1"/>
    </xf>
    <xf borderId="5" fillId="6" fontId="6" numFmtId="0" xfId="0" applyAlignment="1" applyBorder="1" applyFont="1">
      <alignment readingOrder="0" shrinkToFit="0" wrapText="1"/>
    </xf>
    <xf borderId="5" fillId="6" fontId="7" numFmtId="9" xfId="0" applyAlignment="1" applyBorder="1" applyFont="1" applyNumberFormat="1">
      <alignment horizontal="right" readingOrder="0" shrinkToFit="0" wrapText="1"/>
    </xf>
    <xf borderId="0" fillId="7" fontId="6" numFmtId="0" xfId="0" applyAlignment="1" applyFill="1" applyFont="1">
      <alignment readingOrder="0" shrinkToFit="0" wrapText="1"/>
    </xf>
    <xf borderId="0" fillId="7" fontId="7" numFmtId="165" xfId="0" applyAlignment="1" applyFont="1" applyNumberFormat="1">
      <alignment readingOrder="0" shrinkToFit="0" wrapText="1"/>
    </xf>
    <xf borderId="5" fillId="7" fontId="6" numFmtId="0" xfId="0" applyAlignment="1" applyBorder="1" applyFont="1">
      <alignment readingOrder="0" shrinkToFit="0" wrapText="1"/>
    </xf>
    <xf borderId="5" fillId="7" fontId="7" numFmtId="165" xfId="0" applyAlignment="1" applyBorder="1" applyFont="1" applyNumberFormat="1">
      <alignment readingOrder="0" shrinkToFit="0" wrapText="1"/>
    </xf>
    <xf borderId="0" fillId="8" fontId="6" numFmtId="0" xfId="0" applyAlignment="1" applyFill="1" applyFont="1">
      <alignment readingOrder="0" shrinkToFit="0" wrapText="1"/>
    </xf>
    <xf borderId="0" fillId="8" fontId="7" numFmtId="0" xfId="0" applyAlignment="1" applyFont="1">
      <alignment horizontal="right" shrinkToFit="0" vertical="bottom" wrapText="1"/>
    </xf>
    <xf borderId="0" fillId="9" fontId="10" numFmtId="0" xfId="0" applyAlignment="1" applyFill="1" applyFont="1">
      <alignment shrinkToFit="0" vertical="bottom" wrapText="1"/>
    </xf>
    <xf borderId="0" fillId="9" fontId="7" numFmtId="0" xfId="0" applyAlignment="1" applyFont="1">
      <alignment horizontal="right" shrinkToFit="0" wrapText="1"/>
    </xf>
    <xf borderId="0" fillId="9" fontId="6" numFmtId="0" xfId="0" applyAlignment="1" applyFont="1">
      <alignment readingOrder="0" shrinkToFit="0" wrapText="1"/>
    </xf>
    <xf borderId="0" fillId="9" fontId="7" numFmtId="165" xfId="0" applyAlignment="1" applyFont="1" applyNumberFormat="1">
      <alignment shrinkToFit="0" wrapText="1"/>
    </xf>
    <xf borderId="0" fillId="9" fontId="7" numFmtId="10" xfId="0" applyAlignment="1" applyFont="1" applyNumberFormat="1">
      <alignment horizontal="right" shrinkToFit="0" wrapText="1"/>
    </xf>
    <xf borderId="0" fillId="9" fontId="11" numFmtId="0" xfId="0" applyAlignment="1" applyFont="1">
      <alignment horizontal="left" readingOrder="0" shrinkToFit="0" wrapText="1"/>
    </xf>
    <xf borderId="2" fillId="10" fontId="6" numFmtId="0" xfId="0" applyAlignment="1" applyBorder="1" applyFill="1" applyFont="1">
      <alignment readingOrder="0" shrinkToFit="0" wrapText="1"/>
    </xf>
    <xf borderId="2" fillId="10" fontId="7" numFmtId="165" xfId="0" applyAlignment="1" applyBorder="1" applyFont="1" applyNumberFormat="1">
      <alignment readingOrder="0" shrinkToFit="0" wrapText="1"/>
    </xf>
    <xf borderId="0" fillId="10" fontId="6" numFmtId="0" xfId="0" applyAlignment="1" applyFont="1">
      <alignment readingOrder="0" shrinkToFit="0" wrapText="1"/>
    </xf>
    <xf borderId="0" fillId="10" fontId="7" numFmtId="165" xfId="0" applyAlignment="1" applyFont="1" applyNumberFormat="1">
      <alignment readingOrder="0" shrinkToFit="0" wrapText="1"/>
    </xf>
    <xf borderId="0" fillId="10" fontId="7" numFmtId="9" xfId="0" applyAlignment="1" applyFont="1" applyNumberFormat="1">
      <alignment readingOrder="0" shrinkToFit="0" wrapText="1"/>
    </xf>
    <xf borderId="2" fillId="11" fontId="6" numFmtId="0" xfId="0" applyAlignment="1" applyBorder="1" applyFill="1" applyFont="1">
      <alignment readingOrder="0" shrinkToFit="0" wrapText="1"/>
    </xf>
    <xf borderId="2" fillId="11" fontId="7" numFmtId="175" xfId="0" applyAlignment="1" applyBorder="1" applyFont="1" applyNumberFormat="1">
      <alignment readingOrder="0" shrinkToFit="0" wrapText="1"/>
    </xf>
    <xf borderId="0" fillId="11" fontId="6" numFmtId="0" xfId="0" applyAlignment="1" applyFont="1">
      <alignment readingOrder="0" shrinkToFit="0" wrapText="1"/>
    </xf>
    <xf borderId="0" fillId="11" fontId="7" numFmtId="175" xfId="0" applyAlignment="1" applyFont="1" applyNumberFormat="1">
      <alignment readingOrder="0" shrinkToFit="0" wrapText="1"/>
    </xf>
    <xf borderId="0" fillId="11" fontId="7" numFmtId="165" xfId="0" applyAlignment="1" applyFont="1" applyNumberFormat="1">
      <alignment readingOrder="0" shrinkToFit="0" wrapText="1"/>
    </xf>
    <xf borderId="2" fillId="6" fontId="6" numFmtId="0" xfId="0" applyAlignment="1" applyBorder="1" applyFill="1" applyFont="1">
      <alignment readingOrder="0" shrinkToFit="0" wrapText="1"/>
    </xf>
    <xf borderId="2" fillId="6" fontId="7" numFmtId="169" xfId="0" applyAlignment="1" applyBorder="1" applyFont="1" applyNumberFormat="1">
      <alignment horizontal="right" readingOrder="0" shrinkToFit="0" wrapText="1"/>
    </xf>
    <xf borderId="0" fillId="6" fontId="6" numFmtId="0" xfId="0" applyAlignment="1" applyFont="1">
      <alignment readingOrder="0" shrinkToFit="0" wrapText="1"/>
    </xf>
    <xf borderId="0" fillId="6" fontId="7" numFmtId="169" xfId="0" applyAlignment="1" applyFont="1" applyNumberFormat="1">
      <alignment horizontal="right" readingOrder="0" shrinkToFit="0" wrapText="1"/>
    </xf>
    <xf borderId="0" fillId="6" fontId="7" numFmtId="176" xfId="0" applyAlignment="1" applyFont="1" applyNumberFormat="1">
      <alignment horizontal="right" readingOrder="0" shrinkToFit="0" wrapText="1"/>
    </xf>
    <xf borderId="0" fillId="6" fontId="7" numFmtId="165" xfId="0" applyAlignment="1" applyFont="1" applyNumberFormat="1">
      <alignment horizontal="right" readingOrder="0" shrinkToFit="0" wrapText="1"/>
    </xf>
    <xf borderId="0" fillId="6" fontId="7" numFmtId="46" xfId="0" applyAlignment="1" applyFont="1" applyNumberFormat="1">
      <alignment horizontal="right" readingOrder="0" shrinkToFit="0" wrapText="1"/>
    </xf>
    <xf borderId="0" fillId="6" fontId="12" numFmtId="3" xfId="0" applyAlignment="1" applyFont="1" applyNumberFormat="1">
      <alignment horizontal="right" readingOrder="0" shrinkToFit="0" wrapText="1"/>
    </xf>
    <xf borderId="0" fillId="12" fontId="1" numFmtId="0" xfId="0" applyAlignment="1" applyFill="1" applyFont="1">
      <alignment horizontal="center" readingOrder="0" shrinkToFit="0" wrapText="0"/>
    </xf>
    <xf borderId="0" fillId="12" fontId="1" numFmtId="0" xfId="0" applyAlignment="1" applyFont="1">
      <alignment horizontal="center" readingOrder="0" shrinkToFit="0" wrapText="1"/>
    </xf>
    <xf borderId="0" fillId="0" fontId="5" numFmtId="177" xfId="0" applyAlignment="1" applyFont="1" applyNumberFormat="1">
      <alignment horizontal="right" readingOrder="0" shrinkToFit="0" vertical="bottom" wrapText="1"/>
    </xf>
    <xf borderId="4" fillId="13" fontId="1" numFmtId="3" xfId="0" applyAlignment="1" applyBorder="1" applyFill="1" applyFont="1" applyNumberFormat="1">
      <alignment horizontal="center" readingOrder="0" shrinkToFit="0" wrapText="1"/>
    </xf>
    <xf borderId="0" fillId="0" fontId="5" numFmtId="0" xfId="0" applyAlignment="1" applyFont="1">
      <alignment readingOrder="0" shrinkToFit="0" vertical="bottom" wrapText="1"/>
    </xf>
    <xf borderId="0" fillId="0" fontId="5" numFmtId="3" xfId="0" applyAlignment="1" applyFont="1" applyNumberFormat="1">
      <alignment horizontal="right" readingOrder="0" shrinkToFit="0" vertical="bottom" wrapText="1"/>
    </xf>
    <xf borderId="0" fillId="0" fontId="5" numFmtId="164" xfId="0" applyAlignment="1" applyFont="1" applyNumberFormat="1">
      <alignment horizontal="right" readingOrder="0" shrinkToFit="0" vertical="bottom" wrapText="1"/>
    </xf>
    <xf borderId="0" fillId="13" fontId="1" numFmtId="164" xfId="0" applyAlignment="1" applyFont="1" applyNumberFormat="1">
      <alignment horizontal="center" readingOrder="0" shrinkToFit="0" wrapText="1"/>
    </xf>
    <xf borderId="0" fillId="0" fontId="5" numFmtId="165" xfId="0" applyAlignment="1" applyFont="1" applyNumberFormat="1">
      <alignment horizontal="right" readingOrder="0" shrinkToFit="0" vertical="bottom" wrapText="1"/>
    </xf>
    <xf borderId="0" fillId="13" fontId="1" numFmtId="169" xfId="0" applyAlignment="1" applyFont="1" applyNumberFormat="1">
      <alignment horizontal="center" readingOrder="0" shrinkToFit="0" wrapText="1"/>
    </xf>
    <xf borderId="0" fillId="0" fontId="5" numFmtId="0" xfId="0" applyAlignment="1" applyFont="1">
      <alignment readingOrder="0" shrinkToFit="0" vertical="bottom" wrapText="0"/>
    </xf>
    <xf borderId="4" fillId="5" fontId="1" numFmtId="169" xfId="0" applyAlignment="1" applyBorder="1" applyFont="1" applyNumberFormat="1">
      <alignment horizontal="center" readingOrder="0" shrinkToFit="0" wrapText="1"/>
    </xf>
    <xf borderId="0" fillId="5" fontId="1" numFmtId="0" xfId="0" applyAlignment="1" applyFont="1">
      <alignment horizontal="center" readingOrder="0" shrinkToFit="0" wrapText="1"/>
    </xf>
    <xf borderId="0" fillId="5" fontId="1" numFmtId="10" xfId="0" applyAlignment="1" applyFont="1" applyNumberFormat="1">
      <alignment horizontal="center" readingOrder="0" shrinkToFit="0" wrapText="1"/>
    </xf>
    <xf borderId="4" fillId="14" fontId="1" numFmtId="169" xfId="0" applyAlignment="1" applyBorder="1" applyFill="1" applyFont="1" applyNumberFormat="1">
      <alignment horizontal="center" readingOrder="0" shrinkToFit="0" wrapText="1"/>
    </xf>
    <xf borderId="0" fillId="14" fontId="1" numFmtId="169" xfId="0" applyAlignment="1" applyFont="1" applyNumberFormat="1">
      <alignment horizontal="center" readingOrder="0" shrinkToFit="0" wrapText="0"/>
    </xf>
    <xf borderId="0" fillId="14" fontId="1" numFmtId="169" xfId="0" applyAlignment="1" applyFont="1" applyNumberFormat="1">
      <alignment horizontal="center" readingOrder="0" shrinkToFit="0" wrapText="1"/>
    </xf>
    <xf borderId="0" fillId="14" fontId="4" numFmtId="169" xfId="0" applyAlignment="1" applyFont="1" applyNumberFormat="1">
      <alignment horizontal="center" readingOrder="0" shrinkToFit="0" vertical="bottom" wrapText="1"/>
    </xf>
    <xf borderId="0" fillId="0" fontId="5" numFmtId="165" xfId="0" applyAlignment="1" applyFont="1" applyNumberFormat="1">
      <alignment horizontal="right" shrinkToFit="0" vertical="bottom" wrapText="1"/>
    </xf>
    <xf borderId="3" fillId="14" fontId="1" numFmtId="169" xfId="0" applyAlignment="1" applyBorder="1" applyFont="1" applyNumberFormat="1">
      <alignment horizontal="center" readingOrder="0" shrinkToFit="0" wrapText="1"/>
    </xf>
    <xf borderId="0" fillId="12" fontId="1" numFmtId="169" xfId="0" applyAlignment="1" applyFont="1" applyNumberFormat="1">
      <alignment horizontal="center" readingOrder="0" shrinkToFit="0" wrapText="1"/>
    </xf>
    <xf borderId="0" fillId="0" fontId="5" numFmtId="165" xfId="0" applyAlignment="1" applyFont="1" applyNumberFormat="1">
      <alignment shrinkToFit="0" vertical="bottom" wrapText="0"/>
    </xf>
    <xf borderId="4" fillId="13" fontId="1" numFmtId="0" xfId="0" applyAlignment="1" applyBorder="1" applyFont="1">
      <alignment horizontal="center" readingOrder="0" shrinkToFit="0" wrapText="1"/>
    </xf>
    <xf borderId="0" fillId="13" fontId="1" numFmtId="0" xfId="0" applyAlignment="1" applyFont="1">
      <alignment horizontal="center" readingOrder="0" shrinkToFit="0" wrapText="1"/>
    </xf>
    <xf borderId="0" fillId="13" fontId="1" numFmtId="178" xfId="0" applyAlignment="1" applyFont="1" applyNumberFormat="1">
      <alignment horizontal="center" readingOrder="0" shrinkToFit="0" wrapText="1"/>
    </xf>
    <xf borderId="0" fillId="0" fontId="5" numFmtId="0" xfId="0" applyAlignment="1" applyFont="1">
      <alignment horizontal="right" shrinkToFit="0" vertical="bottom" wrapText="1"/>
    </xf>
    <xf borderId="0" fillId="13" fontId="1" numFmtId="49" xfId="0" applyAlignment="1" applyFont="1" applyNumberFormat="1">
      <alignment horizontal="center" readingOrder="0" shrinkToFit="0" wrapText="1"/>
    </xf>
    <xf borderId="0" fillId="13" fontId="1" numFmtId="169" xfId="0" applyAlignment="1" applyFont="1" applyNumberFormat="1">
      <alignment horizontal="center" readingOrder="0" shrinkToFit="0" wrapText="1"/>
    </xf>
    <xf borderId="3" fillId="0" fontId="5" numFmtId="0" xfId="0" applyAlignment="1" applyBorder="1" applyFont="1">
      <alignment horizontal="right" shrinkToFit="0" vertical="bottom" wrapText="1"/>
    </xf>
    <xf borderId="0" fillId="7" fontId="1" numFmtId="0" xfId="0" applyAlignment="1" applyFont="1">
      <alignment horizontal="center" readingOrder="0" shrinkToFit="0" wrapText="1"/>
    </xf>
    <xf borderId="0" fillId="7" fontId="1" numFmtId="169" xfId="0" applyAlignment="1" applyFont="1" applyNumberFormat="1">
      <alignment horizontal="center" readingOrder="0" shrinkToFit="0" wrapText="1"/>
    </xf>
    <xf borderId="0" fillId="0" fontId="2" numFmtId="0" xfId="0" applyAlignment="1" applyFont="1">
      <alignment horizontal="left" readingOrder="0" shrinkToFit="0" wrapText="0"/>
    </xf>
    <xf borderId="0" fillId="0" fontId="2" numFmtId="179" xfId="0" applyAlignment="1" applyFont="1" applyNumberFormat="1">
      <alignment readingOrder="0" shrinkToFit="0" wrapText="1"/>
    </xf>
    <xf borderId="0" fillId="0" fontId="13" numFmtId="0" xfId="0" applyAlignment="1" applyFont="1">
      <alignment horizontal="center" shrinkToFit="0" vertical="bottom" wrapText="1"/>
    </xf>
    <xf borderId="0" fillId="0" fontId="13" numFmtId="0" xfId="0" applyAlignment="1" applyFont="1">
      <alignment shrinkToFit="0" vertical="bottom" wrapText="1"/>
    </xf>
    <xf borderId="4" fillId="0" fontId="5" numFmtId="164" xfId="0" applyAlignment="1" applyBorder="1" applyFont="1" applyNumberFormat="1">
      <alignment horizontal="right" shrinkToFit="0" vertical="bottom" wrapText="1"/>
    </xf>
    <xf borderId="0" fillId="0" fontId="5" numFmtId="0" xfId="0" applyAlignment="1" applyFont="1">
      <alignment shrinkToFit="0" vertical="bottom" wrapText="1"/>
    </xf>
    <xf borderId="0" fillId="0" fontId="5" numFmtId="180" xfId="0" applyAlignment="1" applyFont="1" applyNumberFormat="1">
      <alignment shrinkToFit="0" vertical="bottom" wrapText="1"/>
    </xf>
    <xf borderId="3" fillId="0" fontId="5" numFmtId="164" xfId="0" applyAlignment="1" applyBorder="1" applyFont="1" applyNumberFormat="1">
      <alignment horizontal="right" shrinkToFit="0" vertical="bottom" wrapText="1"/>
    </xf>
    <xf borderId="4" fillId="0" fontId="3" numFmtId="3" xfId="0" applyAlignment="1" applyBorder="1" applyFont="1" applyNumberFormat="1">
      <alignment readingOrder="0" shrinkToFit="0" wrapText="1"/>
    </xf>
    <xf borderId="0" fillId="15" fontId="5" numFmtId="165" xfId="0" applyAlignment="1" applyFill="1" applyFont="1" applyNumberFormat="1">
      <alignment shrinkToFit="0" vertical="bottom" wrapText="0"/>
    </xf>
    <xf borderId="0" fillId="0" fontId="14" numFmtId="164" xfId="0" applyAlignment="1" applyFont="1" applyNumberFormat="1">
      <alignment readingOrder="0" shrinkToFit="0" wrapText="1"/>
    </xf>
    <xf borderId="0" fillId="15" fontId="5" numFmtId="0" xfId="0" applyAlignment="1" applyFont="1">
      <alignment horizontal="right" shrinkToFit="0" vertical="bottom" wrapText="1"/>
    </xf>
    <xf borderId="3" fillId="15" fontId="5" numFmtId="0" xfId="0" applyAlignment="1" applyBorder="1" applyFont="1">
      <alignment horizontal="right" shrinkToFit="0" vertical="bottom" wrapText="1"/>
    </xf>
    <xf borderId="0" fillId="0" fontId="3" numFmtId="169" xfId="0" applyAlignment="1" applyFont="1" applyNumberFormat="1">
      <alignment shrinkToFit="0" wrapText="1"/>
    </xf>
    <xf borderId="4" fillId="15" fontId="5" numFmtId="164" xfId="0" applyAlignment="1" applyBorder="1" applyFont="1" applyNumberFormat="1">
      <alignment horizontal="right" shrinkToFit="0" vertical="bottom" wrapText="1"/>
    </xf>
    <xf borderId="4" fillId="0" fontId="3" numFmtId="169" xfId="0" applyAlignment="1" applyBorder="1" applyFont="1" applyNumberFormat="1">
      <alignment shrinkToFit="0" wrapText="1"/>
    </xf>
    <xf borderId="3" fillId="15" fontId="5" numFmtId="164" xfId="0" applyAlignment="1" applyBorder="1" applyFont="1" applyNumberFormat="1">
      <alignment horizontal="right" shrinkToFit="0" vertical="bottom" wrapText="1"/>
    </xf>
    <xf borderId="0" fillId="15" fontId="5" numFmtId="165" xfId="0" applyAlignment="1" applyFont="1" applyNumberFormat="1">
      <alignment horizontal="right" shrinkToFit="0" vertical="bottom" wrapText="1"/>
    </xf>
    <xf borderId="0" fillId="0" fontId="3" numFmtId="1" xfId="0" applyAlignment="1" applyFont="1" applyNumberFormat="1">
      <alignment shrinkToFit="0" wrapText="0"/>
    </xf>
    <xf borderId="0" fillId="0" fontId="3" numFmtId="0" xfId="0" applyAlignment="1" applyFont="1">
      <alignment shrinkToFit="0" wrapText="1"/>
    </xf>
    <xf borderId="0" fillId="0" fontId="5" numFmtId="169" xfId="0" applyAlignment="1" applyFont="1" applyNumberFormat="1">
      <alignment horizontal="right" shrinkToFit="0" vertical="bottom" wrapText="1"/>
    </xf>
    <xf borderId="0" fillId="0" fontId="5" numFmtId="169" xfId="0" applyAlignment="1" applyFont="1" applyNumberFormat="1">
      <alignment horizontal="right" shrinkToFit="0" vertical="bottom" wrapText="1"/>
    </xf>
    <xf borderId="0" fillId="0" fontId="3" numFmtId="10" xfId="0" applyAlignment="1" applyFont="1" applyNumberFormat="1">
      <alignment shrinkToFit="0" wrapText="1"/>
    </xf>
    <xf borderId="0" fillId="0" fontId="3" numFmtId="10" xfId="0" applyAlignment="1" applyFont="1" applyNumberFormat="1">
      <alignment shrinkToFit="0" wrapText="0"/>
    </xf>
    <xf borderId="0" fillId="0" fontId="13" numFmtId="169" xfId="0" applyAlignment="1" applyFont="1" applyNumberFormat="1">
      <alignment horizontal="right" shrinkToFit="0" vertical="bottom" wrapText="1"/>
    </xf>
    <xf borderId="3" fillId="0" fontId="2" numFmtId="10" xfId="0" applyAlignment="1" applyBorder="1" applyFont="1" applyNumberFormat="1">
      <alignment shrinkToFit="0" wrapText="1"/>
    </xf>
    <xf borderId="0" fillId="0" fontId="3" numFmtId="169" xfId="0" applyAlignment="1" applyFont="1" applyNumberFormat="1">
      <alignment shrinkToFit="0" wrapText="1"/>
    </xf>
    <xf borderId="0" fillId="0" fontId="3" numFmtId="181" xfId="0" applyAlignment="1" applyFont="1" applyNumberFormat="1">
      <alignment shrinkToFit="0" wrapText="1"/>
    </xf>
    <xf borderId="4" fillId="0" fontId="3" numFmtId="169" xfId="0" applyAlignment="1" applyBorder="1" applyFont="1" applyNumberFormat="1">
      <alignment shrinkToFit="0" wrapText="1"/>
    </xf>
    <xf borderId="0" fillId="0" fontId="3" numFmtId="179" xfId="0" applyAlignment="1" applyFont="1" applyNumberFormat="1">
      <alignment shrinkToFit="0" wrapText="1"/>
    </xf>
    <xf borderId="0" fillId="0" fontId="5" numFmtId="178" xfId="0" applyAlignment="1" applyFont="1" applyNumberFormat="1">
      <alignment horizontal="right" readingOrder="0" shrinkToFit="0" vertical="bottom" wrapText="1"/>
    </xf>
    <xf borderId="0" fillId="0" fontId="3" numFmtId="169" xfId="0" applyAlignment="1" applyFont="1" applyNumberFormat="1">
      <alignment readingOrder="0" shrinkToFit="0" wrapText="1"/>
    </xf>
    <xf borderId="0" fillId="0" fontId="5" numFmtId="166" xfId="0" applyAlignment="1" applyFont="1" applyNumberFormat="1">
      <alignment horizontal="right" readingOrder="0" shrinkToFit="0" vertical="bottom" wrapText="1"/>
    </xf>
    <xf borderId="0" fillId="0" fontId="5" numFmtId="49" xfId="0" applyAlignment="1" applyFont="1" applyNumberFormat="1">
      <alignment horizontal="right" readingOrder="0" shrinkToFit="0" vertical="bottom" wrapText="1"/>
    </xf>
    <xf borderId="0" fillId="16" fontId="5" numFmtId="165" xfId="0" applyAlignment="1" applyFill="1" applyFont="1" applyNumberFormat="1">
      <alignment shrinkToFit="0" vertical="bottom" wrapText="0"/>
    </xf>
    <xf borderId="0" fillId="7" fontId="2" numFmtId="10" xfId="0" applyAlignment="1" applyFont="1" applyNumberFormat="1">
      <alignment shrinkToFit="0" wrapText="1"/>
    </xf>
    <xf borderId="0" fillId="16" fontId="5" numFmtId="0" xfId="0" applyAlignment="1" applyFont="1">
      <alignment horizontal="right" shrinkToFit="0" vertical="bottom" wrapText="1"/>
    </xf>
    <xf borderId="3" fillId="16" fontId="5" numFmtId="0" xfId="0" applyAlignment="1" applyBorder="1" applyFont="1">
      <alignment horizontal="right" shrinkToFit="0" vertical="bottom" wrapText="1"/>
    </xf>
    <xf borderId="0" fillId="7" fontId="2" numFmtId="169" xfId="0" applyAlignment="1" applyFont="1" applyNumberFormat="1">
      <alignment shrinkToFit="0" wrapText="1"/>
    </xf>
    <xf borderId="4" fillId="16" fontId="5" numFmtId="164" xfId="0" applyAlignment="1" applyBorder="1" applyFont="1" applyNumberFormat="1">
      <alignment horizontal="right" shrinkToFit="0" vertical="bottom" wrapText="1"/>
    </xf>
    <xf borderId="0" fillId="7" fontId="2" numFmtId="169" xfId="0" applyAlignment="1" applyFont="1" applyNumberFormat="1">
      <alignment horizontal="right" readingOrder="0" shrinkToFit="0" wrapText="1"/>
    </xf>
    <xf borderId="0" fillId="0" fontId="13" numFmtId="0" xfId="0" applyAlignment="1" applyFont="1">
      <alignment horizontal="center" readingOrder="0" shrinkToFit="0" vertical="bottom" wrapText="1"/>
    </xf>
    <xf borderId="3" fillId="16" fontId="5" numFmtId="164" xfId="0" applyAlignment="1" applyBorder="1" applyFont="1" applyNumberFormat="1">
      <alignment horizontal="right" shrinkToFit="0" vertical="bottom" wrapText="1"/>
    </xf>
    <xf borderId="0" fillId="16" fontId="5" numFmtId="165" xfId="0" applyAlignment="1" applyFont="1" applyNumberFormat="1">
      <alignment horizontal="right" shrinkToFit="0" vertical="bottom" wrapText="1"/>
    </xf>
    <xf borderId="0" fillId="0" fontId="13" numFmtId="0" xfId="0" applyAlignment="1" applyFont="1">
      <alignment readingOrder="0" shrinkToFit="0" vertical="bottom" wrapText="1"/>
    </xf>
    <xf borderId="5" fillId="0" fontId="14" numFmtId="164" xfId="0" applyAlignment="1" applyBorder="1" applyFont="1" applyNumberFormat="1">
      <alignment readingOrder="0" shrinkToFit="0" wrapText="1"/>
    </xf>
    <xf borderId="0" fillId="0" fontId="13" numFmtId="169" xfId="0" applyAlignment="1" applyFont="1" applyNumberFormat="1">
      <alignment horizontal="right" shrinkToFit="0" vertical="bottom" wrapText="1"/>
    </xf>
    <xf borderId="2" fillId="0" fontId="2" numFmtId="0" xfId="0" applyAlignment="1" applyBorder="1" applyFont="1">
      <alignment readingOrder="0" shrinkToFit="0" wrapText="0"/>
    </xf>
    <xf borderId="2" fillId="0" fontId="15" numFmtId="10" xfId="0" applyAlignment="1" applyBorder="1" applyFont="1" applyNumberFormat="1">
      <alignment shrinkToFit="0" wrapText="1"/>
    </xf>
    <xf borderId="0" fillId="15" fontId="5" numFmtId="177" xfId="0" applyAlignment="1" applyFont="1" applyNumberFormat="1">
      <alignment horizontal="right" readingOrder="0" shrinkToFit="0" vertical="bottom" wrapText="1"/>
    </xf>
    <xf borderId="2" fillId="0" fontId="2" numFmtId="0" xfId="0" applyAlignment="1" applyBorder="1" applyFont="1">
      <alignment readingOrder="0" shrinkToFit="0" wrapText="1"/>
    </xf>
    <xf borderId="0" fillId="15" fontId="5" numFmtId="0" xfId="0" applyAlignment="1" applyFont="1">
      <alignment readingOrder="0" shrinkToFit="0" vertical="bottom" wrapText="1"/>
    </xf>
    <xf borderId="2" fillId="0" fontId="16" numFmtId="0" xfId="0" applyAlignment="1" applyBorder="1" applyFont="1">
      <alignment readingOrder="0" shrinkToFit="0" wrapText="1"/>
    </xf>
    <xf borderId="0" fillId="15" fontId="5" numFmtId="3" xfId="0" applyAlignment="1" applyFont="1" applyNumberFormat="1">
      <alignment horizontal="right" readingOrder="0" shrinkToFit="0" vertical="bottom" wrapText="1"/>
    </xf>
    <xf borderId="2" fillId="0" fontId="17" numFmtId="0" xfId="0" applyAlignment="1" applyBorder="1" applyFont="1">
      <alignment readingOrder="0" shrinkToFit="0" wrapText="1"/>
    </xf>
    <xf borderId="0" fillId="15" fontId="5" numFmtId="164" xfId="0" applyAlignment="1" applyFont="1" applyNumberFormat="1">
      <alignment horizontal="right" readingOrder="0" shrinkToFit="0" vertical="bottom" wrapText="1"/>
    </xf>
    <xf borderId="2" fillId="17" fontId="14" numFmtId="182" xfId="0" applyAlignment="1" applyBorder="1" applyFill="1" applyFont="1" applyNumberFormat="1">
      <alignment shrinkToFit="0" wrapText="1"/>
    </xf>
    <xf borderId="0" fillId="15" fontId="5" numFmtId="165" xfId="0" applyAlignment="1" applyFont="1" applyNumberFormat="1">
      <alignment horizontal="right" readingOrder="0" shrinkToFit="0" vertical="bottom" wrapText="1"/>
    </xf>
    <xf borderId="0" fillId="15" fontId="5" numFmtId="0" xfId="0" applyAlignment="1" applyFont="1">
      <alignment readingOrder="0" shrinkToFit="0" vertical="bottom" wrapText="0"/>
    </xf>
    <xf borderId="2" fillId="0" fontId="14" numFmtId="164" xfId="0" applyAlignment="1" applyBorder="1" applyFont="1" applyNumberFormat="1">
      <alignment readingOrder="0" shrinkToFit="0" wrapText="0"/>
    </xf>
    <xf borderId="0" fillId="0" fontId="14" numFmtId="164" xfId="0" applyAlignment="1" applyFont="1" applyNumberFormat="1">
      <alignment readingOrder="0" shrinkToFit="0" wrapText="0"/>
    </xf>
    <xf borderId="2" fillId="0" fontId="2" numFmtId="169" xfId="0" applyAlignment="1" applyBorder="1" applyFont="1" applyNumberFormat="1">
      <alignment shrinkToFit="0" wrapText="1"/>
    </xf>
    <xf borderId="6" fillId="0" fontId="2" numFmtId="169" xfId="0" applyAlignment="1" applyBorder="1" applyFont="1" applyNumberFormat="1">
      <alignment shrinkToFit="0" wrapText="1"/>
    </xf>
    <xf borderId="0" fillId="16" fontId="5" numFmtId="177" xfId="0" applyAlignment="1" applyFont="1" applyNumberFormat="1">
      <alignment horizontal="right" readingOrder="0" shrinkToFit="0" vertical="bottom" wrapText="1"/>
    </xf>
    <xf borderId="2" fillId="0" fontId="15" numFmtId="169" xfId="0" applyAlignment="1" applyBorder="1" applyFont="1" applyNumberFormat="1">
      <alignment shrinkToFit="0" wrapText="1"/>
    </xf>
    <xf borderId="0" fillId="16" fontId="5" numFmtId="0" xfId="0" applyAlignment="1" applyFont="1">
      <alignment readingOrder="0" shrinkToFit="0" vertical="bottom" wrapText="1"/>
    </xf>
    <xf borderId="0" fillId="16" fontId="5" numFmtId="3" xfId="0" applyAlignment="1" applyFont="1" applyNumberFormat="1">
      <alignment horizontal="right" readingOrder="0" shrinkToFit="0" vertical="bottom" wrapText="1"/>
    </xf>
    <xf borderId="0" fillId="16" fontId="5" numFmtId="164" xfId="0" applyAlignment="1" applyFont="1" applyNumberFormat="1">
      <alignment horizontal="right" readingOrder="0" shrinkToFit="0" vertical="bottom" wrapText="1"/>
    </xf>
    <xf borderId="0" fillId="16" fontId="5" numFmtId="165" xfId="0" applyAlignment="1" applyFont="1" applyNumberFormat="1">
      <alignment horizontal="right" readingOrder="0" shrinkToFit="0" vertical="bottom" wrapText="1"/>
    </xf>
    <xf borderId="0" fillId="16" fontId="5" numFmtId="0" xfId="0" applyAlignment="1" applyFont="1">
      <alignment readingOrder="0" shrinkToFit="0" vertical="bottom" wrapText="0"/>
    </xf>
    <xf borderId="2" fillId="0" fontId="3" numFmtId="169" xfId="0" applyAlignment="1" applyBorder="1" applyFont="1" applyNumberFormat="1">
      <alignment shrinkToFit="0" wrapText="1"/>
    </xf>
    <xf borderId="2" fillId="0" fontId="13" numFmtId="0" xfId="0" applyAlignment="1" applyBorder="1" applyFont="1">
      <alignment horizontal="center" shrinkToFit="0" vertical="bottom" wrapText="1"/>
    </xf>
    <xf borderId="2" fillId="0" fontId="2" numFmtId="10" xfId="0" applyAlignment="1" applyBorder="1" applyFont="1" applyNumberFormat="1">
      <alignment shrinkToFit="0" wrapText="0"/>
    </xf>
    <xf borderId="2" fillId="0" fontId="2" numFmtId="10" xfId="0" applyAlignment="1" applyBorder="1" applyFont="1" applyNumberFormat="1">
      <alignment shrinkToFit="0" wrapText="1"/>
    </xf>
    <xf borderId="2" fillId="0" fontId="13" numFmtId="169" xfId="0" applyAlignment="1" applyBorder="1" applyFont="1" applyNumberFormat="1">
      <alignment horizontal="right" shrinkToFit="0" vertical="bottom" wrapText="1"/>
    </xf>
    <xf borderId="6" fillId="0" fontId="13" numFmtId="169" xfId="0" applyAlignment="1" applyBorder="1" applyFont="1" applyNumberFormat="1">
      <alignment horizontal="right" shrinkToFit="0" vertical="bottom" wrapText="1"/>
    </xf>
    <xf borderId="2" fillId="0" fontId="3" numFmtId="0" xfId="0" applyAlignment="1" applyBorder="1" applyFont="1">
      <alignment shrinkToFit="0" wrapText="1"/>
    </xf>
    <xf borderId="2" fillId="0" fontId="3" numFmtId="10" xfId="0" applyAlignment="1" applyBorder="1" applyFont="1" applyNumberFormat="1">
      <alignment shrinkToFit="0" wrapText="1"/>
    </xf>
    <xf borderId="6" fillId="0" fontId="13" numFmtId="169" xfId="0" applyAlignment="1" applyBorder="1" applyFont="1" applyNumberFormat="1">
      <alignment horizontal="right" shrinkToFit="0" vertical="bottom" wrapText="1"/>
    </xf>
    <xf borderId="2" fillId="0" fontId="13" numFmtId="10" xfId="0" applyAlignment="1" applyBorder="1" applyFont="1" applyNumberFormat="1">
      <alignment horizontal="right" shrinkToFit="0" vertical="bottom" wrapText="1"/>
    </xf>
    <xf borderId="2" fillId="0" fontId="5" numFmtId="178" xfId="0" applyAlignment="1" applyBorder="1" applyFont="1" applyNumberFormat="1">
      <alignment horizontal="right" shrinkToFit="0" vertical="bottom" wrapText="1"/>
    </xf>
    <xf borderId="2" fillId="0" fontId="3" numFmtId="169" xfId="0" applyAlignment="1" applyBorder="1" applyFont="1" applyNumberFormat="1">
      <alignment readingOrder="0" shrinkToFit="0" wrapText="1"/>
    </xf>
    <xf borderId="2" fillId="0" fontId="5" numFmtId="46" xfId="0" applyAlignment="1" applyBorder="1" applyFont="1" applyNumberFormat="1">
      <alignment horizontal="right" shrinkToFit="0" vertical="bottom" wrapText="1"/>
    </xf>
    <xf borderId="2" fillId="0" fontId="15" numFmtId="170" xfId="0" applyAlignment="1" applyBorder="1" applyFont="1" applyNumberFormat="1">
      <alignment shrinkToFit="0" wrapText="1"/>
    </xf>
    <xf borderId="2" fillId="0" fontId="15" numFmtId="49" xfId="0" applyAlignment="1" applyBorder="1" applyFont="1" applyNumberFormat="1">
      <alignment shrinkToFit="0" wrapText="1"/>
    </xf>
    <xf borderId="2" fillId="0" fontId="13" numFmtId="169" xfId="0" applyAlignment="1" applyBorder="1" applyFont="1" applyNumberFormat="1">
      <alignment horizontal="right" shrinkToFit="0" vertical="bottom" wrapText="1"/>
    </xf>
    <xf borderId="2" fillId="7" fontId="2" numFmtId="10" xfId="0" applyAlignment="1" applyBorder="1" applyFont="1" applyNumberFormat="1">
      <alignment shrinkToFit="0" wrapText="1"/>
    </xf>
    <xf borderId="2" fillId="7" fontId="2" numFmtId="169" xfId="0" applyAlignment="1" applyBorder="1" applyFont="1" applyNumberFormat="1">
      <alignment shrinkToFit="0" wrapText="1"/>
    </xf>
    <xf borderId="2" fillId="7" fontId="2" numFmtId="169" xfId="0" applyAlignment="1" applyBorder="1" applyFont="1" applyNumberFormat="1">
      <alignment horizontal="right" shrinkToFit="0" wrapText="1"/>
    </xf>
    <xf borderId="0" fillId="0" fontId="5" numFmtId="177" xfId="0" applyAlignment="1" applyFont="1" applyNumberFormat="1">
      <alignment horizontal="right" shrinkToFit="0" vertical="bottom" wrapText="1"/>
    </xf>
    <xf borderId="0" fillId="0" fontId="5" numFmtId="10" xfId="0" applyAlignment="1" applyFont="1" applyNumberFormat="1">
      <alignment horizontal="right" shrinkToFit="0" vertical="bottom" wrapText="1"/>
    </xf>
    <xf borderId="0" fillId="18" fontId="5" numFmtId="10" xfId="0" applyAlignment="1" applyFill="1" applyFont="1" applyNumberFormat="1">
      <alignment horizontal="right" shrinkToFit="0" vertical="bottom" wrapText="1"/>
    </xf>
    <xf borderId="0" fillId="0" fontId="5" numFmtId="10" xfId="0" applyAlignment="1" applyFont="1" applyNumberFormat="1">
      <alignment horizontal="right" readingOrder="0" shrinkToFit="0" vertical="bottom" wrapText="1"/>
    </xf>
    <xf borderId="0" fillId="18" fontId="5" numFmtId="10" xfId="0" applyAlignment="1" applyFont="1" applyNumberFormat="1">
      <alignment horizontal="right" readingOrder="0" shrinkToFit="0" vertical="bottom" wrapText="1"/>
    </xf>
    <xf borderId="0" fillId="0" fontId="3" numFmtId="177" xfId="0" applyAlignment="1" applyFont="1" applyNumberFormat="1">
      <alignment readingOrder="0" shrinkToFit="0" wrapText="1"/>
    </xf>
    <xf borderId="0" fillId="0" fontId="14" numFmtId="165" xfId="0" applyAlignment="1" applyFont="1" applyNumberFormat="1">
      <alignment readingOrder="0" shrinkToFit="0" wrapText="1"/>
    </xf>
    <xf borderId="0" fillId="0" fontId="14" numFmtId="165" xfId="0" applyAlignment="1" applyFont="1" applyNumberFormat="1">
      <alignment shrinkToFit="0" wrapText="1"/>
    </xf>
    <xf borderId="0" fillId="0" fontId="5" numFmtId="10" xfId="0" applyAlignment="1" applyFont="1" applyNumberFormat="1">
      <alignment shrinkToFit="0" vertical="bottom" wrapText="1"/>
    </xf>
    <xf borderId="0" fillId="19" fontId="5" numFmtId="0" xfId="0" applyAlignment="1" applyFill="1" applyFont="1">
      <alignment readingOrder="0" shrinkToFit="0" vertical="bottom" wrapText="0"/>
    </xf>
    <xf borderId="0" fillId="0" fontId="18" numFmtId="0" xfId="0" applyAlignment="1" applyFont="1">
      <alignment horizontal="center" readingOrder="0" shrinkToFit="0" vertical="bottom" wrapText="1"/>
    </xf>
    <xf borderId="0" fillId="0" fontId="19" numFmtId="0" xfId="0" applyAlignment="1" applyFont="1">
      <alignment horizontal="left" readingOrder="0" shrinkToFit="0" wrapText="1"/>
    </xf>
    <xf borderId="0" fillId="0" fontId="5" numFmtId="3" xfId="0" applyAlignment="1" applyFont="1" applyNumberFormat="1">
      <alignment horizontal="right" shrinkToFit="0" vertical="bottom" wrapText="1"/>
    </xf>
    <xf borderId="0" fillId="0" fontId="3" numFmtId="165" xfId="0" applyAlignment="1" applyFont="1" applyNumberFormat="1">
      <alignment shrinkToFit="0" wrapText="1"/>
    </xf>
    <xf borderId="0" fillId="0" fontId="5" numFmtId="164" xfId="0" applyAlignment="1" applyFont="1" applyNumberFormat="1">
      <alignment horizontal="right" shrinkToFit="0" vertical="bottom" wrapText="1"/>
    </xf>
    <xf borderId="0" fillId="0" fontId="20" numFmtId="0" xfId="0" applyAlignment="1" applyFont="1">
      <alignment horizontal="left" readingOrder="0" shrinkToFit="0" wrapText="1"/>
    </xf>
    <xf borderId="0" fillId="0" fontId="2" numFmtId="165" xfId="0" applyAlignment="1" applyFont="1" applyNumberFormat="1">
      <alignment shrinkToFit="0" wrapText="1"/>
    </xf>
    <xf borderId="2" fillId="0" fontId="18" numFmtId="0" xfId="0" applyAlignment="1" applyBorder="1" applyFont="1">
      <alignment horizontal="center" readingOrder="0" shrinkToFit="0" vertical="bottom" wrapText="1"/>
    </xf>
    <xf borderId="2" fillId="0" fontId="20" numFmtId="0" xfId="0" applyAlignment="1" applyBorder="1" applyFont="1">
      <alignment horizontal="left" readingOrder="0" shrinkToFit="0" wrapText="1"/>
    </xf>
    <xf borderId="2" fillId="0" fontId="2" numFmtId="165" xfId="0" applyAlignment="1" applyBorder="1" applyFont="1" applyNumberFormat="1">
      <alignment shrinkToFit="0" wrapText="1"/>
    </xf>
    <xf borderId="0" fillId="0" fontId="2" numFmtId="169" xfId="0" applyAlignment="1" applyFont="1" applyNumberFormat="1">
      <alignment readingOrder="0" shrinkToFit="0" wrapText="1"/>
    </xf>
    <xf borderId="0" fillId="0" fontId="2" numFmtId="169" xfId="0" applyAlignment="1" applyFont="1" applyNumberFormat="1">
      <alignment shrinkToFit="0" wrapText="1"/>
    </xf>
    <xf borderId="2" fillId="0" fontId="19" numFmtId="0" xfId="0" applyAlignment="1" applyBorder="1" applyFont="1">
      <alignment horizontal="left" readingOrder="0" shrinkToFit="0" wrapText="1"/>
    </xf>
    <xf borderId="2" fillId="0" fontId="3" numFmtId="169" xfId="0" applyAlignment="1" applyBorder="1" applyFont="1" applyNumberFormat="1">
      <alignment readingOrder="0" shrinkToFit="0" wrapText="1"/>
    </xf>
    <xf borderId="0" fillId="0" fontId="3" numFmtId="164" xfId="0" applyAlignment="1" applyFont="1" applyNumberFormat="1">
      <alignment readingOrder="0" shrinkToFit="0" wrapText="1"/>
    </xf>
    <xf borderId="4" fillId="2" fontId="1" numFmtId="0" xfId="0" applyAlignment="1" applyBorder="1" applyFont="1">
      <alignment horizontal="center" readingOrder="0" shrinkToFit="0" wrapText="1"/>
    </xf>
    <xf borderId="4" fillId="0" fontId="5" numFmtId="165" xfId="0" applyAlignment="1" applyBorder="1" applyFont="1" applyNumberFormat="1">
      <alignment shrinkToFit="0" vertical="bottom" wrapText="0"/>
    </xf>
    <xf borderId="4" fillId="0" fontId="5" numFmtId="165" xfId="0" applyAlignment="1" applyBorder="1" applyFont="1" applyNumberFormat="1">
      <alignment horizontal="right" readingOrder="0" shrinkToFit="0" vertical="bottom" wrapText="1"/>
    </xf>
    <xf borderId="0" fillId="0" fontId="13" numFmtId="165" xfId="0" applyAlignment="1" applyFont="1" applyNumberFormat="1">
      <alignment horizontal="right" readingOrder="0" shrinkToFit="0" vertical="bottom" wrapText="1"/>
    </xf>
    <xf borderId="0" fillId="20" fontId="4" numFmtId="0" xfId="0" applyAlignment="1" applyFill="1" applyFont="1">
      <alignment horizontal="center" readingOrder="0" shrinkToFit="0" vertical="bottom" wrapText="1"/>
    </xf>
    <xf borderId="0" fillId="0" fontId="5" numFmtId="183" xfId="0" applyAlignment="1" applyFont="1" applyNumberFormat="1">
      <alignment horizontal="right" readingOrder="0" shrinkToFit="0" vertical="bottom" wrapText="1"/>
    </xf>
    <xf borderId="0" fillId="4" fontId="21" numFmtId="165" xfId="0" applyAlignment="1" applyFont="1" applyNumberFormat="1">
      <alignment horizontal="right" readingOrder="0" shrinkToFit="0" wrapText="1"/>
    </xf>
    <xf borderId="0" fillId="20" fontId="4" numFmtId="184" xfId="0" applyAlignment="1" applyFont="1" applyNumberFormat="1">
      <alignment horizontal="center" readingOrder="0" shrinkToFit="0" vertical="bottom" wrapText="1"/>
    </xf>
    <xf borderId="0" fillId="17" fontId="5" numFmtId="177" xfId="0" applyAlignment="1" applyFont="1" applyNumberFormat="1">
      <alignment horizontal="right" readingOrder="0" shrinkToFit="0" vertical="bottom" wrapText="1"/>
    </xf>
    <xf borderId="0" fillId="17" fontId="3" numFmtId="0" xfId="0" applyAlignment="1" applyFont="1">
      <alignment readingOrder="0" shrinkToFit="0" wrapText="1"/>
    </xf>
    <xf borderId="0" fillId="17" fontId="5" numFmtId="165" xfId="0" applyAlignment="1" applyFont="1" applyNumberFormat="1">
      <alignment horizontal="right" readingOrder="0" shrinkToFit="0" vertical="bottom" wrapText="1"/>
    </xf>
    <xf borderId="0" fillId="0" fontId="3" numFmtId="0" xfId="0" applyAlignment="1" applyFont="1">
      <alignment readingOrder="0" shrinkToFit="0" wrapText="1"/>
    </xf>
    <xf borderId="0" fillId="17" fontId="5" numFmtId="177" xfId="0" applyAlignment="1" applyFont="1" applyNumberFormat="1">
      <alignment horizontal="right" shrinkToFit="0" vertical="bottom" wrapText="1"/>
    </xf>
    <xf borderId="0" fillId="17" fontId="5" numFmtId="0" xfId="0" applyAlignment="1" applyFont="1">
      <alignment shrinkToFit="0" vertical="bottom" wrapText="1"/>
    </xf>
    <xf borderId="0" fillId="0" fontId="5" numFmtId="165" xfId="0" applyAlignment="1" applyFont="1" applyNumberFormat="1">
      <alignment shrinkToFit="0" vertical="bottom" wrapText="1"/>
    </xf>
    <xf borderId="0" fillId="17" fontId="3" numFmtId="0" xfId="0" applyAlignment="1" applyFont="1">
      <alignment readingOrder="0" shrinkToFit="0" wrapText="1"/>
    </xf>
    <xf borderId="0" fillId="0" fontId="22" numFmtId="165" xfId="0" applyAlignment="1" applyFont="1" applyNumberFormat="1">
      <alignment readingOrder="0" shrinkToFit="0" wrapText="1"/>
    </xf>
    <xf borderId="0" fillId="0" fontId="5" numFmtId="169" xfId="0" applyAlignment="1" applyFont="1" applyNumberFormat="1">
      <alignment horizontal="center" readingOrder="0" shrinkToFit="0" vertical="bottom" wrapText="1"/>
    </xf>
    <xf borderId="0" fillId="0" fontId="5" numFmtId="169" xfId="0" applyAlignment="1" applyFont="1" applyNumberFormat="1">
      <alignment horizontal="right" readingOrder="0" shrinkToFit="0" vertical="bottom" wrapText="1"/>
    </xf>
    <xf borderId="0" fillId="0" fontId="2" numFmtId="0" xfId="0" applyAlignment="1" applyFont="1">
      <alignment shrinkToFit="0" wrapText="1"/>
    </xf>
    <xf borderId="0" fillId="2" fontId="4" numFmtId="0" xfId="0" applyAlignment="1" applyFont="1">
      <alignment horizontal="center" shrinkToFit="0" vertical="bottom" wrapText="1"/>
    </xf>
    <xf borderId="3" fillId="0" fontId="5" numFmtId="177" xfId="0" applyAlignment="1" applyBorder="1" applyFont="1" applyNumberFormat="1">
      <alignment horizontal="right" shrinkToFit="0" vertical="bottom" wrapText="1"/>
    </xf>
    <xf borderId="0" fillId="21" fontId="5" numFmtId="164" xfId="0" applyAlignment="1" applyFill="1" applyFont="1" applyNumberFormat="1">
      <alignment horizontal="right" shrinkToFit="0" vertical="bottom" wrapText="1"/>
    </xf>
    <xf borderId="3" fillId="0" fontId="5" numFmtId="164" xfId="0" applyAlignment="1" applyBorder="1" applyFont="1" applyNumberFormat="1">
      <alignment horizontal="right" shrinkToFit="0" vertical="bottom" wrapText="1"/>
    </xf>
    <xf borderId="3" fillId="0" fontId="5" numFmtId="177" xfId="0" applyAlignment="1" applyBorder="1" applyFont="1" applyNumberFormat="1">
      <alignment horizontal="right" readingOrder="0" shrinkToFit="0" vertical="bottom" wrapText="1"/>
    </xf>
    <xf borderId="0" fillId="21" fontId="5" numFmtId="164" xfId="0" applyAlignment="1" applyFont="1" applyNumberFormat="1">
      <alignment horizontal="right" readingOrder="0" shrinkToFit="0" vertical="bottom" wrapText="1"/>
    </xf>
    <xf borderId="3" fillId="0" fontId="5" numFmtId="164" xfId="0" applyAlignment="1" applyBorder="1" applyFont="1" applyNumberFormat="1">
      <alignment horizontal="right" readingOrder="0" shrinkToFit="0" vertical="bottom" wrapText="1"/>
    </xf>
    <xf borderId="4" fillId="0" fontId="5" numFmtId="164" xfId="0" applyAlignment="1" applyBorder="1" applyFont="1" applyNumberFormat="1">
      <alignment horizontal="right" readingOrder="0" shrinkToFit="0" vertical="bottom" wrapText="1"/>
    </xf>
    <xf borderId="0" fillId="0" fontId="5" numFmtId="164" xfId="0" applyAlignment="1" applyFont="1" applyNumberFormat="1">
      <alignment horizontal="right" readingOrder="0" shrinkToFit="0" vertical="bottom" wrapText="1"/>
    </xf>
    <xf borderId="4" fillId="0" fontId="5" numFmtId="164" xfId="0" applyAlignment="1" applyBorder="1" applyFont="1" applyNumberFormat="1">
      <alignment horizontal="right" shrinkToFit="0" vertical="bottom" wrapText="1"/>
    </xf>
    <xf borderId="0" fillId="0" fontId="5" numFmtId="164" xfId="0" applyAlignment="1" applyFont="1" applyNumberFormat="1">
      <alignment horizontal="right" shrinkToFit="0" vertical="bottom" wrapText="1"/>
    </xf>
    <xf borderId="0" fillId="0" fontId="3" numFmtId="164" xfId="0" applyAlignment="1" applyFont="1" applyNumberFormat="1">
      <alignment readingOrder="0" shrinkToFit="0" wrapText="1"/>
    </xf>
    <xf borderId="0" fillId="0" fontId="23" numFmtId="165" xfId="0" applyAlignment="1" applyFont="1" applyNumberFormat="1">
      <alignment readingOrder="0" shrinkToFit="0" wrapText="1"/>
    </xf>
    <xf borderId="0" fillId="0" fontId="5" numFmtId="3" xfId="0" applyAlignment="1" applyFont="1" applyNumberFormat="1">
      <alignment readingOrder="0" shrinkToFit="0" vertical="bottom" wrapText="1"/>
    </xf>
    <xf borderId="0" fillId="0" fontId="3" numFmtId="165" xfId="0" applyAlignment="1" applyFont="1" applyNumberFormat="1">
      <alignment readingOrder="0" shrinkToFit="0" wrapText="0"/>
    </xf>
    <xf borderId="0" fillId="0" fontId="3" numFmtId="49" xfId="0" applyAlignment="1" applyFont="1" applyNumberFormat="1">
      <alignment shrinkToFit="0" wrapText="1"/>
    </xf>
    <xf borderId="0" fillId="0" fontId="5" numFmtId="3" xfId="0" applyAlignment="1" applyFont="1" applyNumberFormat="1">
      <alignment shrinkToFit="0" vertical="bottom" wrapText="1"/>
    </xf>
    <xf borderId="0" fillId="0" fontId="5" numFmtId="0" xfId="0" applyAlignment="1" applyFont="1">
      <alignment horizontal="right" shrinkToFit="0" vertical="bottom" wrapText="1"/>
    </xf>
    <xf borderId="3" fillId="0" fontId="3" numFmtId="0" xfId="0" applyAlignment="1" applyBorder="1" applyFont="1">
      <alignment readingOrder="0" shrinkToFit="0" wrapText="1"/>
    </xf>
    <xf borderId="0" fillId="0" fontId="3" numFmtId="0" xfId="0" applyAlignment="1" applyFont="1">
      <alignment readingOrder="0" shrinkToFit="0" wrapText="0"/>
    </xf>
    <xf borderId="3" fillId="0" fontId="5" numFmtId="0" xfId="0" applyAlignment="1" applyBorder="1" applyFont="1">
      <alignment readingOrder="0" shrinkToFit="0" vertical="bottom" wrapText="0"/>
    </xf>
    <xf borderId="0" fillId="0" fontId="5" numFmtId="0" xfId="0" applyAlignment="1" applyFont="1">
      <alignment shrinkToFit="0" vertical="bottom" wrapText="0"/>
    </xf>
    <xf borderId="3" fillId="0" fontId="5" numFmtId="0" xfId="0" applyAlignment="1" applyBorder="1" applyFont="1">
      <alignment shrinkToFit="0" vertical="bottom" wrapText="0"/>
    </xf>
    <xf borderId="3" fillId="0" fontId="3" numFmtId="0" xfId="0" applyAlignment="1" applyBorder="1" applyFont="1">
      <alignment readingOrder="0" shrinkToFit="0" wrapText="0"/>
    </xf>
    <xf borderId="3" fillId="0" fontId="3" numFmtId="0" xfId="0" applyAlignment="1" applyBorder="1" applyFont="1">
      <alignment shrinkToFit="0" wrapText="0"/>
    </xf>
    <xf borderId="3" fillId="0" fontId="3" numFmtId="165" xfId="0" applyAlignment="1" applyBorder="1" applyFont="1" applyNumberFormat="1">
      <alignment readingOrder="0" shrinkToFit="0" wrapText="0"/>
    </xf>
    <xf borderId="0" fillId="0" fontId="3" numFmtId="0" xfId="0" applyAlignment="1" applyFont="1">
      <alignment shrinkToFit="0" wrapText="0"/>
    </xf>
    <xf borderId="0" fillId="18" fontId="5" numFmtId="177" xfId="0" applyAlignment="1" applyFont="1" applyNumberFormat="1">
      <alignment horizontal="right" readingOrder="0" shrinkToFit="0" vertical="bottom" wrapText="1"/>
    </xf>
    <xf borderId="0" fillId="18" fontId="3" numFmtId="0" xfId="0" applyAlignment="1" applyFont="1">
      <alignment shrinkToFit="0" wrapText="1"/>
    </xf>
    <xf borderId="0" fillId="18" fontId="3" numFmtId="0" xfId="0" applyAlignment="1" applyFont="1">
      <alignment shrinkToFit="0" wrapText="0"/>
    </xf>
    <xf borderId="0" fillId="18" fontId="3" numFmtId="0" xfId="0" applyAlignment="1" applyFont="1">
      <alignment readingOrder="0" shrinkToFit="0" wrapText="1"/>
    </xf>
    <xf borderId="0" fillId="18" fontId="3" numFmtId="164" xfId="0" applyAlignment="1" applyFont="1" applyNumberFormat="1">
      <alignment readingOrder="0" shrinkToFit="0" wrapText="1"/>
    </xf>
    <xf borderId="0" fillId="18" fontId="5" numFmtId="165" xfId="0" applyAlignment="1" applyFont="1" applyNumberFormat="1">
      <alignment horizontal="right" readingOrder="0" shrinkToFit="0" vertical="bottom" wrapText="1"/>
    </xf>
    <xf borderId="0" fillId="0" fontId="3" numFmtId="165" xfId="0" applyAlignment="1" applyFont="1" applyNumberFormat="1">
      <alignment shrinkToFit="0" wrapText="0"/>
    </xf>
    <xf borderId="0" fillId="20" fontId="5" numFmtId="177" xfId="0" applyAlignment="1" applyFont="1" applyNumberFormat="1">
      <alignment horizontal="right" readingOrder="0" shrinkToFit="0" vertical="bottom" wrapText="1"/>
    </xf>
    <xf borderId="0" fillId="20" fontId="3" numFmtId="177" xfId="0" applyAlignment="1" applyFont="1" applyNumberFormat="1">
      <alignment readingOrder="0" shrinkToFit="0" wrapText="1"/>
    </xf>
    <xf borderId="0" fillId="20" fontId="3" numFmtId="0" xfId="0" applyAlignment="1" applyFont="1">
      <alignment readingOrder="0" shrinkToFit="0" wrapText="0"/>
    </xf>
    <xf borderId="0" fillId="20" fontId="3" numFmtId="0" xfId="0" applyAlignment="1" applyFont="1">
      <alignment readingOrder="0" shrinkToFit="0" wrapText="1"/>
    </xf>
    <xf borderId="0" fillId="20" fontId="3" numFmtId="164" xfId="0" applyAlignment="1" applyFont="1" applyNumberFormat="1">
      <alignment readingOrder="0" shrinkToFit="0" wrapText="1"/>
    </xf>
    <xf borderId="0" fillId="20" fontId="5" numFmtId="165" xfId="0" applyAlignment="1" applyFont="1" applyNumberFormat="1">
      <alignment horizontal="right" readingOrder="0" shrinkToFit="0" vertical="bottom" wrapText="1"/>
    </xf>
    <xf borderId="0" fillId="20" fontId="3" numFmtId="177" xfId="0" applyAlignment="1" applyFont="1" applyNumberFormat="1">
      <alignment readingOrder="0" shrinkToFit="0" wrapText="0"/>
    </xf>
    <xf borderId="0" fillId="17" fontId="21" numFmtId="0" xfId="0" applyAlignment="1" applyFont="1">
      <alignment horizontal="left" readingOrder="0" shrinkToFit="0" wrapText="1"/>
    </xf>
    <xf borderId="0" fillId="18" fontId="3" numFmtId="0" xfId="0" applyAlignment="1" applyFont="1">
      <alignment readingOrder="0" shrinkToFit="0" wrapText="0"/>
    </xf>
    <xf borderId="0" fillId="18" fontId="3" numFmtId="177" xfId="0" applyAlignment="1" applyFont="1" applyNumberFormat="1">
      <alignment readingOrder="0" shrinkToFit="0" wrapText="1"/>
    </xf>
    <xf borderId="0" fillId="0" fontId="3" numFmtId="49" xfId="0" applyAlignment="1" applyFont="1" applyNumberFormat="1">
      <alignment shrinkToFit="0" wrapText="0"/>
    </xf>
    <xf borderId="0" fillId="0" fontId="5" numFmtId="0" xfId="0" applyAlignment="1" applyFont="1">
      <alignment shrinkToFit="0" vertical="bottom" wrapText="1"/>
    </xf>
    <xf borderId="0" fillId="0" fontId="5" numFmtId="0" xfId="0" applyAlignment="1" applyFont="1">
      <alignment shrinkToFit="0" vertical="bottom" wrapText="0"/>
    </xf>
    <xf borderId="0" fillId="0" fontId="3" numFmtId="177" xfId="0" applyAlignment="1" applyFont="1" applyNumberFormat="1">
      <alignment readingOrder="0" shrinkToFit="0" wrapText="0"/>
    </xf>
    <xf borderId="0" fillId="17" fontId="24" numFmtId="0" xfId="0" applyAlignment="1" applyFont="1">
      <alignment shrinkToFit="0" vertical="bottom" wrapText="1"/>
    </xf>
    <xf borderId="0" fillId="17" fontId="21" numFmtId="0" xfId="0" applyAlignment="1" applyFont="1">
      <alignment horizontal="left" readingOrder="0" shrinkToFit="0" vertical="bottom" wrapText="0"/>
    </xf>
    <xf borderId="0" fillId="17" fontId="21" numFmtId="0" xfId="0" applyAlignment="1" applyFont="1">
      <alignment horizontal="left" readingOrder="0" shrinkToFit="0" vertical="bottom" wrapText="1"/>
    </xf>
    <xf borderId="0" fillId="10" fontId="3" numFmtId="177" xfId="0" applyAlignment="1" applyFont="1" applyNumberFormat="1">
      <alignment readingOrder="0" shrinkToFit="0" wrapText="1"/>
    </xf>
    <xf borderId="0" fillId="10" fontId="3" numFmtId="177" xfId="0" applyAlignment="1" applyFont="1" applyNumberFormat="1">
      <alignment readingOrder="0" shrinkToFit="0" wrapText="0"/>
    </xf>
    <xf borderId="0" fillId="10" fontId="3" numFmtId="0" xfId="0" applyAlignment="1" applyFont="1">
      <alignment readingOrder="0" shrinkToFit="0" wrapText="1"/>
    </xf>
  </cellXfs>
  <cellStyles count="1">
    <cellStyle xfId="0" name="Normal" builtinId="0"/>
  </cellStyles>
  <dxfs count="18">
    <dxf>
      <font>
        <b/>
      </font>
      <fill>
        <patternFill patternType="none"/>
      </fill>
      <border/>
    </dxf>
    <dxf>
      <font/>
      <fill>
        <patternFill patternType="solid">
          <fgColor rgb="FFCC0000"/>
          <bgColor rgb="FFCC0000"/>
        </patternFill>
      </fill>
      <border/>
    </dxf>
    <dxf>
      <font>
        <b/>
      </font>
      <fill>
        <patternFill patternType="solid">
          <fgColor rgb="FFEA9999"/>
          <bgColor rgb="FFEA9999"/>
        </patternFill>
      </fill>
      <border/>
    </dxf>
    <dxf>
      <font>
        <b/>
      </font>
      <fill>
        <patternFill patternType="solid">
          <fgColor rgb="FFB6D7A8"/>
          <bgColor rgb="FFB6D7A8"/>
        </patternFill>
      </fill>
      <border/>
    </dxf>
    <dxf>
      <font/>
      <fill>
        <patternFill patternType="solid">
          <fgColor rgb="FFB7E1CD"/>
          <bgColor rgb="FFB7E1CD"/>
        </patternFill>
      </fill>
      <border/>
    </dxf>
    <dxf>
      <font/>
      <fill>
        <patternFill patternType="solid">
          <fgColor rgb="FFF4C7C3"/>
          <bgColor rgb="FFF4C7C3"/>
        </patternFill>
      </fill>
      <border/>
    </dxf>
    <dxf>
      <font>
        <b/>
      </font>
      <fill>
        <patternFill patternType="solid">
          <fgColor rgb="FFE06666"/>
          <bgColor rgb="FFE06666"/>
        </patternFill>
      </fill>
      <border/>
    </dxf>
    <dxf>
      <font>
        <b/>
      </font>
      <fill>
        <patternFill patternType="solid">
          <fgColor rgb="FF93C47D"/>
          <bgColor rgb="FF93C47D"/>
        </patternFill>
      </fill>
      <border/>
    </dxf>
    <dxf>
      <font>
        <color rgb="FFB7B7B7"/>
      </font>
      <fill>
        <patternFill patternType="none"/>
      </fill>
      <border/>
    </dxf>
    <dxf>
      <font/>
      <fill>
        <patternFill patternType="solid">
          <fgColor rgb="FF93C47D"/>
          <bgColor rgb="FF93C47D"/>
        </patternFill>
      </fill>
      <border/>
    </dxf>
    <dxf>
      <font/>
      <fill>
        <patternFill patternType="solid">
          <fgColor rgb="FFE06666"/>
          <bgColor rgb="FFE06666"/>
        </patternFill>
      </fill>
      <border/>
    </dxf>
    <dxf>
      <font>
        <color rgb="FFCCCCCC"/>
      </font>
      <fill>
        <patternFill patternType="none"/>
      </fill>
      <border/>
    </dxf>
    <dxf>
      <font/>
      <fill>
        <patternFill patternType="solid">
          <fgColor rgb="FFFF0000"/>
          <bgColor rgb="FFFF0000"/>
        </patternFill>
      </fill>
      <border/>
    </dxf>
    <dxf>
      <font/>
      <fill>
        <patternFill patternType="solid">
          <fgColor rgb="FFD9EAD3"/>
          <bgColor rgb="FFD9EAD3"/>
        </patternFill>
      </fill>
      <border/>
    </dxf>
    <dxf>
      <font/>
      <fill>
        <patternFill patternType="solid">
          <fgColor rgb="FFF4CCCC"/>
          <bgColor rgb="FFF4CCCC"/>
        </patternFill>
      </fill>
      <border/>
    </dxf>
    <dxf>
      <font>
        <b/>
      </font>
      <fill>
        <patternFill patternType="solid">
          <fgColor rgb="FFB7E1CD"/>
          <bgColor rgb="FFB7E1CD"/>
        </patternFill>
      </fill>
      <border/>
    </dxf>
    <dxf>
      <font>
        <color rgb="FFFFFFFF"/>
      </font>
      <fill>
        <patternFill patternType="solid">
          <fgColor rgb="FFFFFFFF"/>
          <bgColor rgb="FFFFFFFF"/>
        </patternFill>
      </fill>
      <border/>
    </dxf>
    <dxf>
      <font>
        <b/>
      </font>
      <fill>
        <patternFill patternType="solid">
          <fgColor rgb="FFF4C7C3"/>
          <bgColor rgb="FFF4C7C3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8.xml"/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21" Type="http://schemas.openxmlformats.org/officeDocument/2006/relationships/worksheet" Target="worksheets/sheet19.xml"/><Relationship Id="rId13" Type="http://schemas.openxmlformats.org/officeDocument/2006/relationships/worksheet" Target="worksheets/sheet11.xml"/><Relationship Id="rId12" Type="http://schemas.openxmlformats.org/officeDocument/2006/relationships/worksheet" Target="worksheets/sheet10.xml"/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15" Type="http://schemas.openxmlformats.org/officeDocument/2006/relationships/worksheet" Target="worksheets/sheet13.xml"/><Relationship Id="rId14" Type="http://schemas.openxmlformats.org/officeDocument/2006/relationships/worksheet" Target="worksheets/sheet12.xml"/><Relationship Id="rId17" Type="http://schemas.openxmlformats.org/officeDocument/2006/relationships/worksheet" Target="worksheets/sheet15.xml"/><Relationship Id="rId16" Type="http://schemas.openxmlformats.org/officeDocument/2006/relationships/worksheet" Target="worksheets/sheet14.xml"/><Relationship Id="rId5" Type="http://schemas.openxmlformats.org/officeDocument/2006/relationships/worksheet" Target="worksheets/sheet3.xml"/><Relationship Id="rId19" Type="http://schemas.openxmlformats.org/officeDocument/2006/relationships/worksheet" Target="worksheets/sheet17.xml"/><Relationship Id="rId6" Type="http://schemas.openxmlformats.org/officeDocument/2006/relationships/worksheet" Target="worksheets/sheet4.xml"/><Relationship Id="rId18" Type="http://schemas.openxmlformats.org/officeDocument/2006/relationships/worksheet" Target="worksheets/sheet16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2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drawing" Target="../drawings/drawing5.xml"/><Relationship Id="rId3" Type="http://schemas.openxmlformats.org/officeDocument/2006/relationships/vmlDrawing" Target="../drawings/vmlDrawing3.v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hyperlink" Target="https://goo.gl/amjmSv" TargetMode="External"/><Relationship Id="rId3" Type="http://schemas.openxmlformats.org/officeDocument/2006/relationships/drawing" Target="../drawings/drawing7.xml"/><Relationship Id="rId4" Type="http://schemas.openxmlformats.org/officeDocument/2006/relationships/vmlDrawing" Target="../drawings/vmlDrawing4.v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comments" Target="../comments5.xml"/><Relationship Id="rId2" Type="http://schemas.openxmlformats.org/officeDocument/2006/relationships/drawing" Target="../drawings/drawing8.xml"/><Relationship Id="rId3" Type="http://schemas.openxmlformats.org/officeDocument/2006/relationships/vmlDrawing" Target="../drawings/vmlDrawing5.v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comments" Target="../comments6.xml"/><Relationship Id="rId2" Type="http://schemas.openxmlformats.org/officeDocument/2006/relationships/drawing" Target="../drawings/drawing9.xml"/><Relationship Id="rId3" Type="http://schemas.openxmlformats.org/officeDocument/2006/relationships/vmlDrawing" Target="../drawings/vmlDrawing6.v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comments" Target="../comments7.xml"/><Relationship Id="rId2" Type="http://schemas.openxmlformats.org/officeDocument/2006/relationships/drawing" Target="../drawings/drawing10.xml"/><Relationship Id="rId3" Type="http://schemas.openxmlformats.org/officeDocument/2006/relationships/vmlDrawing" Target="../drawings/vmlDrawing7.v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comments" Target="../comments8.xml"/><Relationship Id="rId2" Type="http://schemas.openxmlformats.org/officeDocument/2006/relationships/drawing" Target="../drawings/drawing12.xml"/><Relationship Id="rId3" Type="http://schemas.openxmlformats.org/officeDocument/2006/relationships/vmlDrawing" Target="../drawings/vmlDrawing8.v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hyperlink" Target="http://amazon.fr" TargetMode="External"/><Relationship Id="rId2" Type="http://schemas.openxmlformats.org/officeDocument/2006/relationships/hyperlink" Target="http://www.aliexpress.com" TargetMode="External"/><Relationship Id="rId3" Type="http://schemas.openxmlformats.org/officeDocument/2006/relationships/hyperlink" Target="http://www.aliexpress.com" TargetMode="External"/><Relationship Id="rId4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comments" Target="../comments9.xml"/><Relationship Id="rId2" Type="http://schemas.openxmlformats.org/officeDocument/2006/relationships/drawing" Target="../drawings/drawing15.xml"/><Relationship Id="rId3" Type="http://schemas.openxmlformats.org/officeDocument/2006/relationships/vmlDrawing" Target="../drawings/vmlDrawing9.v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comments" Target="../comments10.xml"/><Relationship Id="rId2" Type="http://schemas.openxmlformats.org/officeDocument/2006/relationships/drawing" Target="../drawings/drawing16.xml"/><Relationship Id="rId3" Type="http://schemas.openxmlformats.org/officeDocument/2006/relationships/vmlDrawing" Target="../drawings/vmlDrawing10.v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comments" Target="../comments11.xml"/><Relationship Id="rId2" Type="http://schemas.openxmlformats.org/officeDocument/2006/relationships/drawing" Target="../drawings/drawing18.xml"/><Relationship Id="rId3" Type="http://schemas.openxmlformats.org/officeDocument/2006/relationships/vmlDrawing" Target="../drawings/vmlDrawing11.v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comments" Target="../comments12.xml"/><Relationship Id="rId2" Type="http://schemas.openxmlformats.org/officeDocument/2006/relationships/drawing" Target="../drawings/drawing19.xml"/><Relationship Id="rId3" Type="http://schemas.openxmlformats.org/officeDocument/2006/relationships/vmlDrawing" Target="../drawings/vmlDrawing12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" width="22.29"/>
    <col customWidth="1" min="2" max="4" width="32.29"/>
    <col customWidth="1" min="5" max="5" width="35.14"/>
    <col customWidth="1" min="6" max="6" width="32.29"/>
  </cols>
  <sheetData>
    <row r="1">
      <c r="A1" s="2" t="s">
        <v>1</v>
      </c>
      <c r="B1" s="4" t="s">
        <v>4</v>
      </c>
      <c r="C1" s="4" t="s">
        <v>8</v>
      </c>
      <c r="D1" s="4" t="s">
        <v>9</v>
      </c>
      <c r="E1" s="4" t="s">
        <v>10</v>
      </c>
      <c r="F1" s="4" t="s">
        <v>11</v>
      </c>
    </row>
    <row r="2">
      <c r="A2" s="6" t="s">
        <v>12</v>
      </c>
      <c r="B2" s="8" t="s">
        <v>14</v>
      </c>
      <c r="C2" s="8" t="s">
        <v>16</v>
      </c>
      <c r="D2" s="8" t="s">
        <v>17</v>
      </c>
      <c r="E2" s="8" t="s">
        <v>18</v>
      </c>
      <c r="F2" s="8" t="s">
        <v>19</v>
      </c>
    </row>
    <row r="3">
      <c r="A3" s="6" t="s">
        <v>20</v>
      </c>
      <c r="B3" s="8" t="s">
        <v>23</v>
      </c>
      <c r="C3" s="8" t="s">
        <v>24</v>
      </c>
      <c r="D3" s="8" t="s">
        <v>25</v>
      </c>
      <c r="E3" s="11" t="s">
        <v>26</v>
      </c>
      <c r="F3" s="8" t="s">
        <v>32</v>
      </c>
    </row>
    <row r="4">
      <c r="A4" s="6" t="s">
        <v>33</v>
      </c>
      <c r="B4" s="8" t="s">
        <v>34</v>
      </c>
      <c r="C4" s="8" t="s">
        <v>35</v>
      </c>
      <c r="D4" s="8" t="s">
        <v>36</v>
      </c>
      <c r="E4" s="8" t="s">
        <v>37</v>
      </c>
      <c r="F4" s="8" t="s">
        <v>38</v>
      </c>
    </row>
    <row r="5">
      <c r="A5" s="6" t="s">
        <v>39</v>
      </c>
      <c r="B5" s="8" t="s">
        <v>42</v>
      </c>
      <c r="C5" s="8" t="s">
        <v>44</v>
      </c>
      <c r="D5" s="8" t="s">
        <v>46</v>
      </c>
      <c r="E5" s="11" t="s">
        <v>47</v>
      </c>
      <c r="F5" s="8" t="s">
        <v>48</v>
      </c>
    </row>
    <row r="6">
      <c r="A6" s="6" t="s">
        <v>49</v>
      </c>
      <c r="B6" s="11" t="s">
        <v>50</v>
      </c>
      <c r="C6" s="11" t="s">
        <v>51</v>
      </c>
      <c r="D6" s="11" t="s">
        <v>52</v>
      </c>
      <c r="E6" s="11" t="s">
        <v>53</v>
      </c>
      <c r="F6" s="11" t="s">
        <v>54</v>
      </c>
    </row>
    <row r="7">
      <c r="A7" s="13" t="s">
        <v>55</v>
      </c>
      <c r="B7" s="13" t="s">
        <v>56</v>
      </c>
      <c r="C7" s="13" t="s">
        <v>57</v>
      </c>
      <c r="D7" s="13" t="s">
        <v>58</v>
      </c>
      <c r="E7" s="13" t="s">
        <v>59</v>
      </c>
      <c r="F7" s="13" t="s">
        <v>44</v>
      </c>
    </row>
    <row r="8">
      <c r="A8" s="8" t="s">
        <v>36</v>
      </c>
      <c r="B8" s="8" t="s">
        <v>34</v>
      </c>
      <c r="C8" s="8" t="s">
        <v>35</v>
      </c>
      <c r="D8" s="11" t="s">
        <v>58</v>
      </c>
      <c r="E8" s="8" t="s">
        <v>37</v>
      </c>
      <c r="F8" s="8" t="s">
        <v>44</v>
      </c>
    </row>
    <row r="9" hidden="1">
      <c r="A9" s="6" t="str">
        <f t="shared" ref="A9:A15" si="1">A1</f>
        <v>Savings</v>
      </c>
      <c r="B9" s="18">
        <f>MATCH(B1,Dashboard!$A:$A,0)</f>
        <v>1</v>
      </c>
      <c r="C9" s="18">
        <f>MATCH(C1,Dashboard!$A:$A,0)</f>
        <v>18</v>
      </c>
      <c r="D9" s="18">
        <f>MATCH(D1,Dashboard!$A:$A,0)</f>
        <v>29</v>
      </c>
      <c r="E9" s="18">
        <f>MATCH(E1,Dashboard!$A:$A,0)</f>
        <v>30</v>
      </c>
      <c r="F9" s="18">
        <f>MATCH(F1,Dashboard!$A:$A,0)</f>
        <v>31</v>
      </c>
    </row>
    <row r="10" hidden="1">
      <c r="A10" s="6" t="str">
        <f t="shared" si="1"/>
        <v>Expenses</v>
      </c>
      <c r="B10" s="18">
        <f>MATCH(B2,Dashboard!$A:$A,0)</f>
        <v>16</v>
      </c>
      <c r="C10" s="18">
        <f>MATCH(C2,Dashboard!$A:$A,0)</f>
        <v>14</v>
      </c>
      <c r="D10" s="18">
        <f>MATCH(D2,Dashboard!$A:$A,0)</f>
        <v>17</v>
      </c>
      <c r="E10" s="18">
        <f>MATCH(E2,Dashboard!$A:$A,0)</f>
        <v>20</v>
      </c>
      <c r="F10" s="18">
        <f>MATCH(F2,Dashboard!$A:$A,0)</f>
        <v>57</v>
      </c>
    </row>
    <row r="11" hidden="1">
      <c r="A11" s="6" t="str">
        <f t="shared" si="1"/>
        <v>Account</v>
      </c>
      <c r="B11" s="18">
        <f>MATCH(B3,Dashboard!$A:$A,0)</f>
        <v>45</v>
      </c>
      <c r="C11" s="18">
        <f>MATCH(C3,Dashboard!$A:$A,0)</f>
        <v>47</v>
      </c>
      <c r="D11" s="18">
        <f>MATCH(D3,Dashboard!$A:$A,0)</f>
        <v>46</v>
      </c>
      <c r="E11" s="18">
        <f>MATCH(E3,Dashboard!$A:$A,0)</f>
        <v>24</v>
      </c>
      <c r="F11" s="18">
        <f>MATCH(F3,Dashboard!$A:$A,0)</f>
        <v>23</v>
      </c>
    </row>
    <row r="12" hidden="1">
      <c r="A12" s="6" t="str">
        <f t="shared" si="1"/>
        <v>Portfolio</v>
      </c>
      <c r="B12" s="18">
        <f>MATCH(B4,Dashboard!$A:$A,0)</f>
        <v>34</v>
      </c>
      <c r="C12" s="18">
        <f>MATCH(C4,Dashboard!$A:$A,0)</f>
        <v>35</v>
      </c>
      <c r="D12" s="18">
        <f>MATCH(D4,Dashboard!$A:$A,0)</f>
        <v>36</v>
      </c>
      <c r="E12" s="18">
        <f>MATCH(E4,Dashboard!$A:$A,0)</f>
        <v>37</v>
      </c>
      <c r="F12" s="18">
        <f>MATCH(F4,Dashboard!$A:$A,0)</f>
        <v>38</v>
      </c>
    </row>
    <row r="13" hidden="1">
      <c r="A13" s="6" t="str">
        <f t="shared" si="1"/>
        <v>Allocations</v>
      </c>
      <c r="B13" s="18">
        <f>MATCH(B5,Dashboard!$A:$A,0)</f>
        <v>48</v>
      </c>
      <c r="C13" s="18">
        <f>MATCH(C5,Dashboard!$A:$A,0)</f>
        <v>50</v>
      </c>
      <c r="D13" s="18">
        <f>MATCH(D5,Dashboard!$A:$A,0)</f>
        <v>51</v>
      </c>
      <c r="E13" s="18">
        <f>MATCH(E5,Dashboard!$A:$A,0)</f>
        <v>49</v>
      </c>
      <c r="F13" s="18">
        <f>MATCH(F5,Dashboard!$A:$A,0)</f>
        <v>56</v>
      </c>
    </row>
    <row r="14" hidden="1">
      <c r="A14" s="6" t="str">
        <f t="shared" si="1"/>
        <v>Performances</v>
      </c>
      <c r="B14" s="18">
        <f>MATCH(B6,Dashboard!$A:$A,0)</f>
        <v>61</v>
      </c>
      <c r="C14" s="18">
        <f>MATCH(C6,Dashboard!$A:$A,0)</f>
        <v>60</v>
      </c>
      <c r="D14" s="18">
        <f>MATCH(D6,Dashboard!$A:$A,0)</f>
        <v>62</v>
      </c>
      <c r="E14" s="18">
        <f>MATCH(E6,Dashboard!$A:$A,0)</f>
        <v>21</v>
      </c>
      <c r="F14" s="18">
        <f>MATCH(F6,Dashboard!$A:$A,0)</f>
        <v>63</v>
      </c>
    </row>
    <row r="15" hidden="1">
      <c r="A15" s="13" t="str">
        <f t="shared" si="1"/>
        <v>Total portfolio</v>
      </c>
      <c r="B15" s="13" t="str">
        <f t="shared" ref="B15:F15" si="2">B7</f>
        <v>Stock value</v>
      </c>
      <c r="C15" s="13" t="str">
        <f t="shared" si="2"/>
        <v>Cash Fund</v>
      </c>
      <c r="D15" s="13" t="str">
        <f t="shared" si="2"/>
        <v>Today's result</v>
      </c>
      <c r="E15" s="13" t="str">
        <f t="shared" si="2"/>
        <v>Cumulated result</v>
      </c>
      <c r="F15" s="13" t="str">
        <f t="shared" si="2"/>
        <v>Margin</v>
      </c>
    </row>
    <row r="16" hidden="1">
      <c r="A16" s="18">
        <f>MATCH(A8,Dashboard!$A:$A,0)</f>
        <v>36</v>
      </c>
      <c r="B16" s="18">
        <f>MATCH(B8,Dashboard!$A:$A,0)</f>
        <v>34</v>
      </c>
      <c r="C16" s="18">
        <f>MATCH(C8,Dashboard!$A:$A,0)</f>
        <v>35</v>
      </c>
      <c r="D16" s="18">
        <f>MATCH(D8,Dashboard!$A:$A,0)</f>
        <v>59</v>
      </c>
      <c r="E16" s="18">
        <f>MATCH(E8,Dashboard!$A:$A,0)</f>
        <v>37</v>
      </c>
      <c r="F16" s="18">
        <f>MATCH(F8,Dashboard!$A:$A,0)</f>
        <v>50</v>
      </c>
    </row>
  </sheetData>
  <dataValidations>
    <dataValidation type="list" allowBlank="1" showErrorMessage="1" sqref="B1:F6 A8:F8">
      <formula1>Dashboard!$A:$A</formula1>
    </dataValidation>
  </dataValidations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2.75"/>
  <cols>
    <col customWidth="1" min="1" max="1" width="10.43"/>
    <col customWidth="1" min="2" max="2" width="13.14"/>
    <col customWidth="1" min="3" max="3" width="9.29"/>
    <col customWidth="1" min="4" max="4" width="13.86"/>
    <col customWidth="1" min="5" max="5" width="17.29"/>
    <col customWidth="1" min="6" max="6" width="10.14"/>
    <col customWidth="1" min="7" max="7" width="11.71"/>
    <col customWidth="1" min="8" max="8" width="12.0"/>
    <col customWidth="1" min="9" max="9" width="14.57"/>
    <col customWidth="1" min="10" max="10" width="18.43"/>
  </cols>
  <sheetData>
    <row r="1">
      <c r="A1" s="1" t="s">
        <v>0</v>
      </c>
      <c r="B1" s="1" t="s">
        <v>2</v>
      </c>
      <c r="C1" s="3" t="s">
        <v>3</v>
      </c>
      <c r="D1" s="1" t="s">
        <v>5</v>
      </c>
      <c r="E1" s="1" t="s">
        <v>6</v>
      </c>
      <c r="F1" s="5" t="s">
        <v>7</v>
      </c>
      <c r="G1" s="7" t="s">
        <v>13</v>
      </c>
      <c r="H1" s="9" t="s">
        <v>15</v>
      </c>
      <c r="I1" s="7" t="s">
        <v>21</v>
      </c>
      <c r="J1" s="9" t="s">
        <v>22</v>
      </c>
    </row>
    <row r="2">
      <c r="A2" s="24">
        <f>IF(ISDATE($A1),IF($A1+$F1&lt;=EOMONTH(DateTime!$B$1-TIME(3,0,0),0),$A1+$F1,""),IF($A1&lt;&gt;"",EOMONTH(DateTime!$B$1-TIME(3,0,0),-1)+1+CHOOSE(WEEKDAY(EOMONTH(DateTime!$B$1-TIME(3,0,0),-1)+1,2),0,0,0,0,0,2,1),))</f>
        <v>43619</v>
      </c>
      <c r="B2" s="25">
        <v>411585.62999999995</v>
      </c>
      <c r="C2" s="28" t="str">
        <f t="shared" ref="C2:C24" si="1">IF($A2,"EUR",)</f>
        <v>EUR</v>
      </c>
      <c r="D2" s="28">
        <v>0.0125</v>
      </c>
      <c r="E2" s="28">
        <f t="shared" ref="E2:E24" si="2">IF($A2,4%,)</f>
        <v>0.04</v>
      </c>
      <c r="F2" s="30">
        <f t="shared" ref="F2:F24" si="3">IF(WEEKDAY($A2,2)&lt;&gt;5,IF($A2,1,),3)</f>
        <v>1</v>
      </c>
      <c r="G2" s="25">
        <f t="shared" ref="G2:G24" si="4">IF($A2,(-H2*D2-I2*E2)/360*F2,)</f>
        <v>-17.70833333</v>
      </c>
      <c r="H2" s="32">
        <f>IF($A2,Dashboard!$B$48,)</f>
        <v>510000</v>
      </c>
      <c r="I2" s="32" t="str">
        <f t="shared" ref="I2:I24" si="5">IF(AND($H2&lt;&gt;"",$B2-$H2&gt;0),ROUND($B2-$H2,0),"")</f>
        <v/>
      </c>
      <c r="J2" s="25">
        <f t="shared" ref="J2:J24" si="6">IFS(ROW()=2,$G2,$A2,$G2+$J1,$A2="","")</f>
        <v>-17.70833333</v>
      </c>
    </row>
    <row r="3">
      <c r="A3" s="24">
        <f>IF(ISDATE($A2),IF($A2+$F2&lt;=EOMONTH(DateTime!$B$1-TIME(3,0,0),0),$A2+$F2,""),IF($A2&lt;&gt;"",EOMONTH(DateTime!$B$1-TIME(3,0,0),-1)+1+CHOOSE(WEEKDAY(EOMONTH(DateTime!$B$1-TIME(3,0,0),-1)+1,2),0,0,0,0,0,2,1),))</f>
        <v>43620</v>
      </c>
      <c r="B3" s="25">
        <v>410684.05</v>
      </c>
      <c r="C3" s="28" t="str">
        <f t="shared" si="1"/>
        <v>EUR</v>
      </c>
      <c r="D3" s="28">
        <v>0.0125</v>
      </c>
      <c r="E3" s="28">
        <f t="shared" si="2"/>
        <v>0.04</v>
      </c>
      <c r="F3" s="30">
        <f t="shared" si="3"/>
        <v>1</v>
      </c>
      <c r="G3" s="25">
        <f t="shared" si="4"/>
        <v>-17.70833333</v>
      </c>
      <c r="H3" s="32">
        <f>IF($A3,Dashboard!$B$48,)</f>
        <v>510000</v>
      </c>
      <c r="I3" s="32" t="str">
        <f t="shared" si="5"/>
        <v/>
      </c>
      <c r="J3" s="25">
        <f t="shared" si="6"/>
        <v>-35.41666667</v>
      </c>
    </row>
    <row r="4">
      <c r="A4" s="24">
        <f>IF(ISDATE($A3),IF($A3+$F3&lt;=EOMONTH(DateTime!$B$1-TIME(3,0,0),0),$A3+$F3,""),IF($A3&lt;&gt;"",EOMONTH(DateTime!$B$1-TIME(3,0,0),-1)+1+CHOOSE(WEEKDAY(EOMONTH(DateTime!$B$1-TIME(3,0,0),-1)+1,2),0,0,0,0,0,2,1),))</f>
        <v>43621</v>
      </c>
      <c r="B4" s="25">
        <v>410684.05</v>
      </c>
      <c r="C4" s="28" t="str">
        <f t="shared" si="1"/>
        <v>EUR</v>
      </c>
      <c r="D4" s="28">
        <v>0.0125</v>
      </c>
      <c r="E4" s="28">
        <f t="shared" si="2"/>
        <v>0.04</v>
      </c>
      <c r="F4" s="30">
        <f t="shared" si="3"/>
        <v>1</v>
      </c>
      <c r="G4" s="25">
        <f t="shared" si="4"/>
        <v>-17.70833333</v>
      </c>
      <c r="H4" s="32">
        <f>IF($A4,Dashboard!$B$48,)</f>
        <v>510000</v>
      </c>
      <c r="I4" s="32" t="str">
        <f t="shared" si="5"/>
        <v/>
      </c>
      <c r="J4" s="25">
        <f t="shared" si="6"/>
        <v>-53.125</v>
      </c>
    </row>
    <row r="5">
      <c r="A5" s="24">
        <f>IF(ISDATE($A4),IF($A4+$F4&lt;=EOMONTH(DateTime!$B$1-TIME(3,0,0),0),$A4+$F4,""),IF($A4&lt;&gt;"",EOMONTH(DateTime!$B$1-TIME(3,0,0),-1)+1+CHOOSE(WEEKDAY(EOMONTH(DateTime!$B$1-TIME(3,0,0),-1)+1,2),0,0,0,0,0,2,1),))</f>
        <v>43622</v>
      </c>
      <c r="B5" s="25">
        <v>407898.88999999996</v>
      </c>
      <c r="C5" s="28" t="str">
        <f t="shared" si="1"/>
        <v>EUR</v>
      </c>
      <c r="D5" s="28">
        <v>0.0125</v>
      </c>
      <c r="E5" s="28">
        <f t="shared" si="2"/>
        <v>0.04</v>
      </c>
      <c r="F5" s="30">
        <f t="shared" si="3"/>
        <v>1</v>
      </c>
      <c r="G5" s="25">
        <f t="shared" si="4"/>
        <v>-17.70833333</v>
      </c>
      <c r="H5" s="32">
        <f>IF($A5,Dashboard!$B$48,)</f>
        <v>510000</v>
      </c>
      <c r="I5" s="32" t="str">
        <f t="shared" si="5"/>
        <v/>
      </c>
      <c r="J5" s="25">
        <f t="shared" si="6"/>
        <v>-70.83333333</v>
      </c>
    </row>
    <row r="6">
      <c r="A6" s="24">
        <f>IF(ISDATE($A5),IF($A5+$F5&lt;=EOMONTH(DateTime!$B$1-TIME(3,0,0),0),$A5+$F5,""),IF($A5&lt;&gt;"",EOMONTH(DateTime!$B$1-TIME(3,0,0),-1)+1+CHOOSE(WEEKDAY(EOMONTH(DateTime!$B$1-TIME(3,0,0),-1)+1,2),0,0,0,0,0,2,1),))</f>
        <v>43623</v>
      </c>
      <c r="B6" s="25">
        <v>406786.62999999995</v>
      </c>
      <c r="C6" s="28" t="str">
        <f t="shared" si="1"/>
        <v>EUR</v>
      </c>
      <c r="D6" s="28">
        <v>0.0125</v>
      </c>
      <c r="E6" s="28">
        <f t="shared" si="2"/>
        <v>0.04</v>
      </c>
      <c r="F6" s="30">
        <f t="shared" si="3"/>
        <v>3</v>
      </c>
      <c r="G6" s="25">
        <f t="shared" si="4"/>
        <v>-53.125</v>
      </c>
      <c r="H6" s="32">
        <f>IF($A6,Dashboard!$B$48,)</f>
        <v>510000</v>
      </c>
      <c r="I6" s="32" t="str">
        <f t="shared" si="5"/>
        <v/>
      </c>
      <c r="J6" s="25">
        <f t="shared" si="6"/>
        <v>-123.9583333</v>
      </c>
    </row>
    <row r="7">
      <c r="A7" s="24">
        <f>IF(ISDATE($A6),IF($A6+$F6&lt;=EOMONTH(DateTime!$B$1-TIME(3,0,0),0),$A6+$F6,""),IF($A6&lt;&gt;"",EOMONTH(DateTime!$B$1-TIME(3,0,0),-1)+1+CHOOSE(WEEKDAY(EOMONTH(DateTime!$B$1-TIME(3,0,0),-1)+1,2),0,0,0,0,0,2,1),))</f>
        <v>43626</v>
      </c>
      <c r="B7" s="25">
        <v>405378.3399999999</v>
      </c>
      <c r="C7" s="28" t="str">
        <f t="shared" si="1"/>
        <v>EUR</v>
      </c>
      <c r="D7" s="28">
        <v>0.0125</v>
      </c>
      <c r="E7" s="28">
        <f t="shared" si="2"/>
        <v>0.04</v>
      </c>
      <c r="F7" s="30">
        <f t="shared" si="3"/>
        <v>1</v>
      </c>
      <c r="G7" s="25">
        <f t="shared" si="4"/>
        <v>-17.70833333</v>
      </c>
      <c r="H7" s="32">
        <f>IF($A7,Dashboard!$B$48,)</f>
        <v>510000</v>
      </c>
      <c r="I7" s="32" t="str">
        <f t="shared" si="5"/>
        <v/>
      </c>
      <c r="J7" s="25">
        <f t="shared" si="6"/>
        <v>-141.6666667</v>
      </c>
    </row>
    <row r="8">
      <c r="A8" s="24">
        <f>IF(ISDATE($A7),IF($A7+$F7&lt;=EOMONTH(DateTime!$B$1-TIME(3,0,0),0),$A7+$F7,""),IF($A7&lt;&gt;"",EOMONTH(DateTime!$B$1-TIME(3,0,0),-1)+1+CHOOSE(WEEKDAY(EOMONTH(DateTime!$B$1-TIME(3,0,0),-1)+1,2),0,0,0,0,0,2,1),))</f>
        <v>43627</v>
      </c>
      <c r="B8" s="25">
        <v>419986.6999999999</v>
      </c>
      <c r="C8" s="28" t="str">
        <f t="shared" si="1"/>
        <v>EUR</v>
      </c>
      <c r="D8" s="28">
        <v>0.0125</v>
      </c>
      <c r="E8" s="28">
        <f t="shared" si="2"/>
        <v>0.04</v>
      </c>
      <c r="F8" s="30">
        <f t="shared" si="3"/>
        <v>1</v>
      </c>
      <c r="G8" s="25">
        <f t="shared" si="4"/>
        <v>-17.70833333</v>
      </c>
      <c r="H8" s="32">
        <f>IF($A8,Dashboard!$B$48,)</f>
        <v>510000</v>
      </c>
      <c r="I8" s="32" t="str">
        <f t="shared" si="5"/>
        <v/>
      </c>
      <c r="J8" s="25">
        <f t="shared" si="6"/>
        <v>-159.375</v>
      </c>
    </row>
    <row r="9">
      <c r="A9" s="24">
        <f>IF(ISDATE($A8),IF($A8+$F8&lt;=EOMONTH(DateTime!$B$1-TIME(3,0,0),0),$A8+$F8,""),IF($A8&lt;&gt;"",EOMONTH(DateTime!$B$1-TIME(3,0,0),-1)+1+CHOOSE(WEEKDAY(EOMONTH(DateTime!$B$1-TIME(3,0,0),-1)+1,2),0,0,0,0,0,2,1),))</f>
        <v>43628</v>
      </c>
      <c r="B9" s="25">
        <v>419986.6999999999</v>
      </c>
      <c r="C9" s="28" t="str">
        <f t="shared" si="1"/>
        <v>EUR</v>
      </c>
      <c r="D9" s="28">
        <v>0.0125</v>
      </c>
      <c r="E9" s="28">
        <f t="shared" si="2"/>
        <v>0.04</v>
      </c>
      <c r="F9" s="30">
        <f t="shared" si="3"/>
        <v>1</v>
      </c>
      <c r="G9" s="25">
        <f t="shared" si="4"/>
        <v>-17.70833333</v>
      </c>
      <c r="H9" s="32">
        <f>IF($A9,Dashboard!$B$48,)</f>
        <v>510000</v>
      </c>
      <c r="I9" s="32" t="str">
        <f t="shared" si="5"/>
        <v/>
      </c>
      <c r="J9" s="25">
        <f t="shared" si="6"/>
        <v>-177.0833333</v>
      </c>
    </row>
    <row r="10">
      <c r="A10" s="24">
        <f>IF(ISDATE($A9),IF($A9+$F9&lt;=EOMONTH(DateTime!$B$1-TIME(3,0,0),0),$A9+$F9,""),IF($A9&lt;&gt;"",EOMONTH(DateTime!$B$1-TIME(3,0,0),-1)+1+CHOOSE(WEEKDAY(EOMONTH(DateTime!$B$1-TIME(3,0,0),-1)+1,2),0,0,0,0,0,2,1),))</f>
        <v>43629</v>
      </c>
      <c r="B10" s="25">
        <v>419986.6999999999</v>
      </c>
      <c r="C10" s="28" t="str">
        <f t="shared" si="1"/>
        <v>EUR</v>
      </c>
      <c r="D10" s="28">
        <v>0.0125</v>
      </c>
      <c r="E10" s="28">
        <f t="shared" si="2"/>
        <v>0.04</v>
      </c>
      <c r="F10" s="30">
        <f t="shared" si="3"/>
        <v>1</v>
      </c>
      <c r="G10" s="25">
        <f t="shared" si="4"/>
        <v>-17.70833333</v>
      </c>
      <c r="H10" s="32">
        <f>IF($A10,Dashboard!$B$48,)</f>
        <v>510000</v>
      </c>
      <c r="I10" s="32" t="str">
        <f t="shared" si="5"/>
        <v/>
      </c>
      <c r="J10" s="25">
        <f t="shared" si="6"/>
        <v>-194.7916667</v>
      </c>
    </row>
    <row r="11">
      <c r="A11" s="24">
        <f>IF(ISDATE($A10),IF($A10+$F10&lt;=EOMONTH(DateTime!$B$1-TIME(3,0,0),0),$A10+$F10,""),IF($A10&lt;&gt;"",EOMONTH(DateTime!$B$1-TIME(3,0,0),-1)+1+CHOOSE(WEEKDAY(EOMONTH(DateTime!$B$1-TIME(3,0,0),-1)+1,2),0,0,0,0,0,2,1),))</f>
        <v>43630</v>
      </c>
      <c r="B11" s="25">
        <v>419986.6999999999</v>
      </c>
      <c r="C11" s="28" t="str">
        <f t="shared" si="1"/>
        <v>EUR</v>
      </c>
      <c r="D11" s="28">
        <v>0.0125</v>
      </c>
      <c r="E11" s="28">
        <f t="shared" si="2"/>
        <v>0.04</v>
      </c>
      <c r="F11" s="30">
        <f t="shared" si="3"/>
        <v>3</v>
      </c>
      <c r="G11" s="25">
        <f t="shared" si="4"/>
        <v>-53.125</v>
      </c>
      <c r="H11" s="32">
        <f>IF($A11,Dashboard!$B$48,)</f>
        <v>510000</v>
      </c>
      <c r="I11" s="32" t="str">
        <f t="shared" si="5"/>
        <v/>
      </c>
      <c r="J11" s="25">
        <f t="shared" si="6"/>
        <v>-247.9166667</v>
      </c>
    </row>
    <row r="12">
      <c r="A12" s="24">
        <f>IF(ISDATE($A11),IF($A11+$F11&lt;=EOMONTH(DateTime!$B$1-TIME(3,0,0),0),$A11+$F11,""),IF($A11&lt;&gt;"",EOMONTH(DateTime!$B$1-TIME(3,0,0),-1)+1+CHOOSE(WEEKDAY(EOMONTH(DateTime!$B$1-TIME(3,0,0),-1)+1,2),0,0,0,0,0,2,1),))</f>
        <v>43633</v>
      </c>
      <c r="B12" s="25">
        <v>419986.6999999999</v>
      </c>
      <c r="C12" s="28" t="str">
        <f t="shared" si="1"/>
        <v>EUR</v>
      </c>
      <c r="D12" s="28">
        <v>0.0125</v>
      </c>
      <c r="E12" s="28">
        <f t="shared" si="2"/>
        <v>0.04</v>
      </c>
      <c r="F12" s="30">
        <f t="shared" si="3"/>
        <v>1</v>
      </c>
      <c r="G12" s="25">
        <f t="shared" si="4"/>
        <v>-17.70833333</v>
      </c>
      <c r="H12" s="32">
        <f>IF($A12,Dashboard!$B$48,)</f>
        <v>510000</v>
      </c>
      <c r="I12" s="32" t="str">
        <f t="shared" si="5"/>
        <v/>
      </c>
      <c r="J12" s="25">
        <f t="shared" si="6"/>
        <v>-265.625</v>
      </c>
    </row>
    <row r="13">
      <c r="A13" s="24">
        <f>IF(ISDATE($A12),IF($A12+$F12&lt;=EOMONTH(DateTime!$B$1-TIME(3,0,0),0),$A12+$F12,""),IF($A12&lt;&gt;"",EOMONTH(DateTime!$B$1-TIME(3,0,0),-1)+1+CHOOSE(WEEKDAY(EOMONTH(DateTime!$B$1-TIME(3,0,0),-1)+1,2),0,0,0,0,0,2,1),))</f>
        <v>43634</v>
      </c>
      <c r="B13" s="25">
        <v>419986.6999999999</v>
      </c>
      <c r="C13" s="28" t="str">
        <f t="shared" si="1"/>
        <v>EUR</v>
      </c>
      <c r="D13" s="28">
        <v>0.0125</v>
      </c>
      <c r="E13" s="28">
        <f t="shared" si="2"/>
        <v>0.04</v>
      </c>
      <c r="F13" s="30">
        <f t="shared" si="3"/>
        <v>1</v>
      </c>
      <c r="G13" s="25">
        <f t="shared" si="4"/>
        <v>-17.70833333</v>
      </c>
      <c r="H13" s="32">
        <f>IF($A13,Dashboard!$B$48,)</f>
        <v>510000</v>
      </c>
      <c r="I13" s="32" t="str">
        <f t="shared" si="5"/>
        <v/>
      </c>
      <c r="J13" s="25">
        <f t="shared" si="6"/>
        <v>-283.3333333</v>
      </c>
    </row>
    <row r="14">
      <c r="A14" s="24">
        <f>IF(ISDATE($A13),IF($A13+$F13&lt;=EOMONTH(DateTime!$B$1-TIME(3,0,0),0),$A13+$F13,""),IF($A13&lt;&gt;"",EOMONTH(DateTime!$B$1-TIME(3,0,0),-1)+1+CHOOSE(WEEKDAY(EOMONTH(DateTime!$B$1-TIME(3,0,0),-1)+1,2),0,0,0,0,0,2,1),))</f>
        <v>43635</v>
      </c>
      <c r="B14" s="25">
        <v>419986.6999999999</v>
      </c>
      <c r="C14" s="28" t="str">
        <f t="shared" si="1"/>
        <v>EUR</v>
      </c>
      <c r="D14" s="28">
        <v>0.0125</v>
      </c>
      <c r="E14" s="28">
        <f t="shared" si="2"/>
        <v>0.04</v>
      </c>
      <c r="F14" s="30">
        <f t="shared" si="3"/>
        <v>1</v>
      </c>
      <c r="G14" s="25">
        <f t="shared" si="4"/>
        <v>-17.70833333</v>
      </c>
      <c r="H14" s="32">
        <f>IF($A14,Dashboard!$B$48,)</f>
        <v>510000</v>
      </c>
      <c r="I14" s="32" t="str">
        <f t="shared" si="5"/>
        <v/>
      </c>
      <c r="J14" s="25">
        <f t="shared" si="6"/>
        <v>-301.0416667</v>
      </c>
    </row>
    <row r="15">
      <c r="A15" s="24">
        <f>IF(ISDATE($A14),IF($A14+$F14&lt;=EOMONTH(DateTime!$B$1-TIME(3,0,0),0),$A14+$F14,""),IF($A14&lt;&gt;"",EOMONTH(DateTime!$B$1-TIME(3,0,0),-1)+1+CHOOSE(WEEKDAY(EOMONTH(DateTime!$B$1-TIME(3,0,0),-1)+1,2),0,0,0,0,0,2,1),))</f>
        <v>43636</v>
      </c>
      <c r="B15" s="25">
        <v>419986.6999999999</v>
      </c>
      <c r="C15" s="28" t="str">
        <f t="shared" si="1"/>
        <v>EUR</v>
      </c>
      <c r="D15" s="28">
        <v>0.0125</v>
      </c>
      <c r="E15" s="28">
        <f t="shared" si="2"/>
        <v>0.04</v>
      </c>
      <c r="F15" s="30">
        <f t="shared" si="3"/>
        <v>1</v>
      </c>
      <c r="G15" s="25">
        <f t="shared" si="4"/>
        <v>-17.70833333</v>
      </c>
      <c r="H15" s="32">
        <f>IF($A15,Dashboard!$B$48,)</f>
        <v>510000</v>
      </c>
      <c r="I15" s="32" t="str">
        <f t="shared" si="5"/>
        <v/>
      </c>
      <c r="J15" s="25">
        <f t="shared" si="6"/>
        <v>-318.75</v>
      </c>
    </row>
    <row r="16">
      <c r="A16" s="24">
        <f>IF(ISDATE($A15),IF($A15+$F15&lt;=EOMONTH(DateTime!$B$1-TIME(3,0,0),0),$A15+$F15,""),IF($A15&lt;&gt;"",EOMONTH(DateTime!$B$1-TIME(3,0,0),-1)+1+CHOOSE(WEEKDAY(EOMONTH(DateTime!$B$1-TIME(3,0,0),-1)+1,2),0,0,0,0,0,2,1),))</f>
        <v>43637</v>
      </c>
      <c r="B16" s="25">
        <v>419986.6999999999</v>
      </c>
      <c r="C16" s="28" t="str">
        <f t="shared" si="1"/>
        <v>EUR</v>
      </c>
      <c r="D16" s="28">
        <v>0.0125</v>
      </c>
      <c r="E16" s="28">
        <f t="shared" si="2"/>
        <v>0.04</v>
      </c>
      <c r="F16" s="30">
        <f t="shared" si="3"/>
        <v>3</v>
      </c>
      <c r="G16" s="25">
        <f t="shared" si="4"/>
        <v>-53.125</v>
      </c>
      <c r="H16" s="32">
        <f>IF($A16,Dashboard!$B$48,)</f>
        <v>510000</v>
      </c>
      <c r="I16" s="32" t="str">
        <f t="shared" si="5"/>
        <v/>
      </c>
      <c r="J16" s="25">
        <f t="shared" si="6"/>
        <v>-371.875</v>
      </c>
    </row>
    <row r="17">
      <c r="A17" s="24">
        <f>IF(ISDATE($A16),IF($A16+$F16&lt;=EOMONTH(DateTime!$B$1-TIME(3,0,0),0),$A16+$F16,""),IF($A16&lt;&gt;"",EOMONTH(DateTime!$B$1-TIME(3,0,0),-1)+1+CHOOSE(WEEKDAY(EOMONTH(DateTime!$B$1-TIME(3,0,0),-1)+1,2),0,0,0,0,0,2,1),))</f>
        <v>43640</v>
      </c>
      <c r="B17" s="25">
        <v>424240.54</v>
      </c>
      <c r="C17" s="28" t="str">
        <f t="shared" si="1"/>
        <v>EUR</v>
      </c>
      <c r="D17" s="28">
        <v>0.0125</v>
      </c>
      <c r="E17" s="28">
        <f t="shared" si="2"/>
        <v>0.04</v>
      </c>
      <c r="F17" s="30">
        <f t="shared" si="3"/>
        <v>1</v>
      </c>
      <c r="G17" s="25">
        <f t="shared" si="4"/>
        <v>-17.70833333</v>
      </c>
      <c r="H17" s="32">
        <f>IF($A17,Dashboard!$B$48,)</f>
        <v>510000</v>
      </c>
      <c r="I17" s="32" t="str">
        <f t="shared" si="5"/>
        <v/>
      </c>
      <c r="J17" s="25">
        <f t="shared" si="6"/>
        <v>-389.5833333</v>
      </c>
    </row>
    <row r="18">
      <c r="A18" s="24">
        <f>IF(ISDATE($A17),IF($A17+$F17&lt;=EOMONTH(DateTime!$B$1-TIME(3,0,0),0),$A17+$F17,""),IF($A17&lt;&gt;"",EOMONTH(DateTime!$B$1-TIME(3,0,0),-1)+1+CHOOSE(WEEKDAY(EOMONTH(DateTime!$B$1-TIME(3,0,0),-1)+1,2),0,0,0,0,0,2,1),))</f>
        <v>43641</v>
      </c>
      <c r="B18" s="25">
        <v>421162.16</v>
      </c>
      <c r="C18" s="28" t="str">
        <f t="shared" si="1"/>
        <v>EUR</v>
      </c>
      <c r="D18" s="28">
        <v>0.0125</v>
      </c>
      <c r="E18" s="28">
        <f t="shared" si="2"/>
        <v>0.04</v>
      </c>
      <c r="F18" s="30">
        <f t="shared" si="3"/>
        <v>1</v>
      </c>
      <c r="G18" s="25">
        <f t="shared" si="4"/>
        <v>-17.70833333</v>
      </c>
      <c r="H18" s="32">
        <f>IF($A18,Dashboard!$B$48,)</f>
        <v>510000</v>
      </c>
      <c r="I18" s="32" t="str">
        <f t="shared" si="5"/>
        <v/>
      </c>
      <c r="J18" s="25">
        <f t="shared" si="6"/>
        <v>-407.2916667</v>
      </c>
    </row>
    <row r="19">
      <c r="A19" s="24">
        <f>IF(ISDATE($A18),IF($A18+$F18&lt;=EOMONTH(DateTime!$B$1-TIME(3,0,0),0),$A18+$F18,""),IF($A18&lt;&gt;"",EOMONTH(DateTime!$B$1-TIME(3,0,0),-1)+1+CHOOSE(WEEKDAY(EOMONTH(DateTime!$B$1-TIME(3,0,0),-1)+1,2),0,0,0,0,0,2,1),))</f>
        <v>43642</v>
      </c>
      <c r="B19" s="25">
        <v>421162.16</v>
      </c>
      <c r="C19" s="28" t="str">
        <f t="shared" si="1"/>
        <v>EUR</v>
      </c>
      <c r="D19" s="28">
        <v>0.0125</v>
      </c>
      <c r="E19" s="28">
        <f t="shared" si="2"/>
        <v>0.04</v>
      </c>
      <c r="F19" s="30">
        <f t="shared" si="3"/>
        <v>1</v>
      </c>
      <c r="G19" s="25">
        <f t="shared" si="4"/>
        <v>-17.70833333</v>
      </c>
      <c r="H19" s="32">
        <f>IF($A19,Dashboard!$B$48,)</f>
        <v>510000</v>
      </c>
      <c r="I19" s="32" t="str">
        <f t="shared" si="5"/>
        <v/>
      </c>
      <c r="J19" s="25">
        <f t="shared" si="6"/>
        <v>-425</v>
      </c>
    </row>
    <row r="20">
      <c r="A20" s="24">
        <f>IF(ISDATE($A19),IF($A19+$F19&lt;=EOMONTH(DateTime!$B$1-TIME(3,0,0),0),$A19+$F19,""),IF($A19&lt;&gt;"",EOMONTH(DateTime!$B$1-TIME(3,0,0),-1)+1+CHOOSE(WEEKDAY(EOMONTH(DateTime!$B$1-TIME(3,0,0),-1)+1,2),0,0,0,0,0,2,1),))</f>
        <v>43643</v>
      </c>
      <c r="B20" s="25">
        <v>421162.16</v>
      </c>
      <c r="C20" s="28" t="str">
        <f t="shared" si="1"/>
        <v>EUR</v>
      </c>
      <c r="D20" s="28">
        <v>0.0125</v>
      </c>
      <c r="E20" s="28">
        <f t="shared" si="2"/>
        <v>0.04</v>
      </c>
      <c r="F20" s="30">
        <f t="shared" si="3"/>
        <v>1</v>
      </c>
      <c r="G20" s="25">
        <f t="shared" si="4"/>
        <v>-17.70833333</v>
      </c>
      <c r="H20" s="32">
        <f>IF($A20,Dashboard!$B$48,)</f>
        <v>510000</v>
      </c>
      <c r="I20" s="32" t="str">
        <f t="shared" si="5"/>
        <v/>
      </c>
      <c r="J20" s="25">
        <f t="shared" si="6"/>
        <v>-442.7083333</v>
      </c>
    </row>
    <row r="21">
      <c r="A21" s="24">
        <f>IF(ISDATE($A20),IF($A20+$F20&lt;=EOMONTH(DateTime!$B$1-TIME(3,0,0),0),$A20+$F20,""),IF($A20&lt;&gt;"",EOMONTH(DateTime!$B$1-TIME(3,0,0),-1)+1+CHOOSE(WEEKDAY(EOMONTH(DateTime!$B$1-TIME(3,0,0),-1)+1,2),0,0,0,0,0,2,1),))</f>
        <v>43644</v>
      </c>
      <c r="B21" s="25">
        <v>421162.16</v>
      </c>
      <c r="C21" s="28" t="str">
        <f t="shared" si="1"/>
        <v>EUR</v>
      </c>
      <c r="D21" s="28">
        <v>0.0125</v>
      </c>
      <c r="E21" s="28">
        <f t="shared" si="2"/>
        <v>0.04</v>
      </c>
      <c r="F21" s="30">
        <f t="shared" si="3"/>
        <v>3</v>
      </c>
      <c r="G21" s="25">
        <f t="shared" si="4"/>
        <v>-53.125</v>
      </c>
      <c r="H21" s="32">
        <f>IF($A21,Dashboard!$B$48,)</f>
        <v>510000</v>
      </c>
      <c r="I21" s="32" t="str">
        <f t="shared" si="5"/>
        <v/>
      </c>
      <c r="J21" s="25">
        <f t="shared" si="6"/>
        <v>-495.8333333</v>
      </c>
    </row>
    <row r="22">
      <c r="A22" s="24" t="str">
        <f>IF(ISDATE($A21),IF($A21+$F21&lt;=EOMONTH(DateTime!$B$1-TIME(3,0,0),0),$A21+$F21,""),IF($A21&lt;&gt;"",EOMONTH(DateTime!$B$1-TIME(3,0,0),-1)+1+CHOOSE(WEEKDAY(EOMONTH(DateTime!$B$1-TIME(3,0,0),-1)+1,2),0,0,0,0,0,2,1),))</f>
        <v/>
      </c>
      <c r="B22" s="25"/>
      <c r="C22" s="28" t="str">
        <f t="shared" si="1"/>
        <v/>
      </c>
      <c r="D22" s="28"/>
      <c r="E22" s="28" t="str">
        <f t="shared" si="2"/>
        <v/>
      </c>
      <c r="F22" s="30" t="str">
        <f t="shared" si="3"/>
        <v/>
      </c>
      <c r="G22" s="55" t="str">
        <f t="shared" si="4"/>
        <v/>
      </c>
      <c r="H22" s="32" t="str">
        <f>IF($A22,Dashboard!$B$48,)</f>
        <v/>
      </c>
      <c r="I22" s="32" t="str">
        <f t="shared" si="5"/>
        <v/>
      </c>
      <c r="J22" s="25" t="str">
        <f t="shared" si="6"/>
        <v/>
      </c>
    </row>
    <row r="23">
      <c r="A23" s="24" t="str">
        <f>IF(ISDATE($A22),IF($A22+$F22&lt;=EOMONTH(DateTime!$B$1-TIME(3,0,0),0),$A22+$F22,""),IF($A22&lt;&gt;"",EOMONTH(DateTime!$B$1-TIME(3,0,0),-1)+1+CHOOSE(WEEKDAY(EOMONTH(DateTime!$B$1-TIME(3,0,0),-1)+1,2),0,0,0,0,0,2,1),))</f>
        <v/>
      </c>
      <c r="B23" s="25"/>
      <c r="C23" s="28" t="str">
        <f t="shared" si="1"/>
        <v/>
      </c>
      <c r="D23" s="28"/>
      <c r="E23" s="28" t="str">
        <f t="shared" si="2"/>
        <v/>
      </c>
      <c r="F23" s="30" t="str">
        <f t="shared" si="3"/>
        <v/>
      </c>
      <c r="G23" s="55" t="str">
        <f t="shared" si="4"/>
        <v/>
      </c>
      <c r="H23" s="32" t="str">
        <f>IF($A23,Dashboard!$B$48,)</f>
        <v/>
      </c>
      <c r="I23" s="32" t="str">
        <f t="shared" si="5"/>
        <v/>
      </c>
      <c r="J23" s="25" t="str">
        <f t="shared" si="6"/>
        <v/>
      </c>
    </row>
    <row r="24">
      <c r="A24" s="24" t="str">
        <f>IF(ISDATE($A23),IF($A23+$F23&lt;=EOMONTH(DateTime!$B$1-TIME(3,0,0),0),$A23+$F23,""),IF($A23&lt;&gt;"",EOMONTH(DateTime!$B$1-TIME(3,0,0),-1)+1+CHOOSE(WEEKDAY(EOMONTH(DateTime!$B$1-TIME(3,0,0),-1)+1,2),0,0,0,0,0,2,1),))</f>
        <v/>
      </c>
      <c r="B24" s="25"/>
      <c r="C24" s="28" t="str">
        <f t="shared" si="1"/>
        <v/>
      </c>
      <c r="D24" s="28"/>
      <c r="E24" s="28" t="str">
        <f t="shared" si="2"/>
        <v/>
      </c>
      <c r="F24" s="30" t="str">
        <f t="shared" si="3"/>
        <v/>
      </c>
      <c r="G24" s="55" t="str">
        <f t="shared" si="4"/>
        <v/>
      </c>
      <c r="H24" s="32" t="str">
        <f>IF($A24,Dashboard!$B$48,)</f>
        <v/>
      </c>
      <c r="I24" s="32" t="str">
        <f t="shared" si="5"/>
        <v/>
      </c>
      <c r="J24" s="25" t="str">
        <f t="shared" si="6"/>
        <v/>
      </c>
    </row>
  </sheetData>
  <conditionalFormatting sqref="B2:B24 D2:D24">
    <cfRule type="expression" dxfId="0" priority="1">
      <formula>$A2&lt;=TODAY()</formula>
    </cfRule>
  </conditionalFormatting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" width="10.57"/>
    <col customWidth="1" min="2" max="2" width="9.29"/>
    <col customWidth="1" min="3" max="3" width="10.71"/>
    <col customWidth="1" min="4" max="4" width="25.14"/>
    <col customWidth="1" min="5" max="5" width="14.57"/>
    <col customWidth="1" min="6" max="6" width="42.57"/>
    <col customWidth="1" min="7" max="7" width="6.86"/>
    <col customWidth="1" min="8" max="8" width="11.71"/>
    <col customWidth="1" min="9" max="9" width="9.57"/>
    <col customWidth="1" min="10" max="10" width="5.86"/>
    <col customWidth="1" min="11" max="11" width="10.86"/>
    <col customWidth="1" min="12" max="12" width="11.0"/>
    <col customWidth="1" min="13" max="13" width="5.29"/>
    <col customWidth="1" min="14" max="14" width="10.0"/>
    <col customWidth="1" min="15" max="15" width="18.14"/>
    <col customWidth="1" min="16" max="16" width="10.43"/>
    <col customWidth="1" min="17" max="17" width="29.71"/>
    <col customWidth="1" min="18" max="18" width="36.14"/>
    <col customWidth="1" min="19" max="19" width="21.71"/>
    <col customWidth="1" min="20" max="20" width="11.57"/>
    <col customWidth="1" min="21" max="21" width="8.57"/>
    <col customWidth="1" min="22" max="22" width="10.0"/>
    <col customWidth="1" min="23" max="27" width="9.57"/>
    <col customWidth="1" min="28" max="28" width="10.43"/>
    <col customWidth="1" min="29" max="37" width="9.57"/>
  </cols>
  <sheetData>
    <row r="1">
      <c r="A1" s="10" t="s">
        <v>0</v>
      </c>
      <c r="B1" s="10" t="s">
        <v>27</v>
      </c>
      <c r="C1" s="10" t="s">
        <v>28</v>
      </c>
      <c r="D1" s="10" t="s">
        <v>29</v>
      </c>
      <c r="E1" s="10" t="s">
        <v>30</v>
      </c>
      <c r="F1" s="12" t="s">
        <v>31</v>
      </c>
      <c r="G1" s="10" t="s">
        <v>40</v>
      </c>
      <c r="H1" s="10" t="s">
        <v>41</v>
      </c>
      <c r="I1" s="10"/>
      <c r="J1" s="10" t="s">
        <v>43</v>
      </c>
      <c r="K1" s="10"/>
      <c r="L1" s="12" t="s">
        <v>45</v>
      </c>
      <c r="M1" s="14" t="str">
        <f t="shared" ref="M1:M1119" si="1">IFERROR(__xludf.DUMMYFUNCTION("IFS(W1=""Achat"",IFERROR(VALUE(X1),VALUE(REGEXREPLACE(T(X1),""[^0-9]"",""""))),W1=""Vente"",-IFERROR(VALUE(X1),VALUE(REGEXREPLACE(T(X1),""[^0-9]"",""""))),Y1=""Change"",0,Y1&lt;&gt;""Change"","""")"),"")</f>
        <v/>
      </c>
      <c r="N1" s="15"/>
      <c r="O1" s="16"/>
      <c r="P1" s="17" t="s">
        <v>0</v>
      </c>
      <c r="Q1" s="19" t="s">
        <v>60</v>
      </c>
      <c r="R1" s="20" t="s">
        <v>61</v>
      </c>
      <c r="S1" s="19" t="s">
        <v>62</v>
      </c>
      <c r="T1" s="19" t="s">
        <v>63</v>
      </c>
      <c r="U1" s="21" t="s">
        <v>64</v>
      </c>
      <c r="V1" s="22" t="s">
        <v>65</v>
      </c>
      <c r="W1" s="23"/>
      <c r="X1" s="26"/>
      <c r="Y1" s="26"/>
      <c r="Z1" s="23"/>
      <c r="AA1" s="26"/>
      <c r="AB1" s="23"/>
      <c r="AC1" s="27"/>
      <c r="AD1" s="27"/>
      <c r="AE1" s="27"/>
      <c r="AF1" s="27"/>
      <c r="AG1" s="27"/>
      <c r="AH1" s="27"/>
      <c r="AI1" s="27"/>
      <c r="AJ1" s="27"/>
      <c r="AK1" s="27"/>
    </row>
    <row r="2">
      <c r="A2" s="10" t="s">
        <v>66</v>
      </c>
      <c r="B2" s="10" t="s">
        <v>67</v>
      </c>
      <c r="C2" s="10" t="s">
        <v>68</v>
      </c>
      <c r="D2" s="10"/>
      <c r="E2" s="10"/>
      <c r="F2" s="12" t="s">
        <v>69</v>
      </c>
      <c r="G2" s="10"/>
      <c r="H2" s="10" t="s">
        <v>70</v>
      </c>
      <c r="I2" s="10" t="s">
        <v>71</v>
      </c>
      <c r="J2" s="10" t="s">
        <v>70</v>
      </c>
      <c r="K2" s="10" t="s">
        <v>72</v>
      </c>
      <c r="L2" s="12"/>
      <c r="M2" s="29">
        <f t="shared" si="1"/>
        <v>0</v>
      </c>
      <c r="N2" s="31">
        <f>IFERROR(__xludf.DUMMYFUNCTION("IF(Account!$F2&lt;&gt;"""", VALUE(REGEXREPLACE($I2, ""\,"", ""."")), """")"),3525.59)</f>
        <v>3525.59</v>
      </c>
      <c r="O2" s="33">
        <f>IF(Account!$F2&lt;&gt;"", DATEVALUE(MID($A2,4,3) &amp; LEFT($A2,3) &amp; RIGHT($A2,4)) + TIMEVALUE($B2), "")</f>
        <v>43643.29167</v>
      </c>
      <c r="P2" s="34">
        <f>IF(Account!$F2&lt;&gt;"", DATEVALUE(MID($C2,4,3) &amp; LEFT($C2,3) &amp; RIGHT($C2,4)), "")</f>
        <v>43642</v>
      </c>
      <c r="Q2" s="35" t="str">
        <f t="array" ref="Q2">IF($R2&lt;&gt;"",IFERROR(INDEX(Investment!$A:$A,MATCH($R2,Investment!$H:$H,0))),)</f>
        <v>Long term US bonds (20-25 year)</v>
      </c>
      <c r="R2" s="36" t="str">
        <f t="array" ref="R2">IF(AND($Y2="change",$H2="EUR"),IF(AND($AA2="Crédit",$O2=$O3),$R3,IF(AND($AA2="Débit",$O2=$O1),$R1)),IF(OR(AND(OR($E2&lt;&gt;"",$M2=""),$N2&lt;&gt;0),$A2=""),IFERROR(INDEX(Investment!$H:$H,MATCH($E2,Investment!$F:$F,0))),IFERROR(INDEX($R3:$R1119,MATCH(SUBSTITUTE($I2,"-","",1),$K3:$K1119,0)),INDEX($R3:$R1119,MATCH($K2,$K3:$K1119,0)))))</f>
        <v>iShares Treasury Bond 20+ UCITS</v>
      </c>
      <c r="S2" s="35" t="str">
        <f t="shared" ref="S2:S1119" si="2">IFS(P2="","",OR(W2="Versement",W2="Retrait"),"APPROVISIONNEMENT",OR(W2="Frais",Y2="Argent",W2="Distribution",W2="Conversion",R2="",AND(M2=0,ABS(N2)&lt;10)),"COST",T2="","DIVIDEND",T2&gt;0,"BUY",T2&lt;0,"SELL")</f>
        <v>DIVIDEND</v>
      </c>
      <c r="T2" s="37" t="str">
        <f t="shared" ref="T2:T1119" si="3">IF(AND(OR($W2="Achat",$W2="Vente", $Y2="change"),E2&lt;&gt;""),IF(SUMIFS(M:M,O:O,O2,R:R,R2)&lt;&gt;0,SUMIFS(M:M,O:O,O2,R:R,R2),""),"")</f>
        <v/>
      </c>
      <c r="U2" s="38" t="str">
        <f t="shared" ref="U2:U1119" si="4">IF(AND(T2&lt;&gt;0,T2&lt;&gt;""),-V2/T2,"")</f>
        <v/>
      </c>
      <c r="V2" s="31">
        <f t="shared" ref="V2:V1119" si="5"> IF($F2&lt;&gt;"",IF(R2&lt;&gt;"",SUMIFS(N:N,O:O,O2,S:S,S2,R:R,R2),SUMIFS(N:N,O:O,O2,S:S,S2,R:R,"=")),"")</f>
        <v>-487.06</v>
      </c>
      <c r="W2" s="39" t="str">
        <f>IFERROR(__xludf.DUMMYFUNCTION(" IF(Account!$F2&lt;&gt;"""", SPLIT(Account!$F2, "" ""), """")"),"Operation")</f>
        <v>Operation</v>
      </c>
      <c r="X2" s="40" t="str">
        <f>IFERROR(__xludf.DUMMYFUNCTION("""COMPUTED_VALUE"""),"de")</f>
        <v>de</v>
      </c>
      <c r="Y2" s="41" t="str">
        <f>IFERROR(__xludf.DUMMYFUNCTION("""COMPUTED_VALUE"""),"change")</f>
        <v>change</v>
      </c>
      <c r="Z2" s="41" t="str">
        <f>IFERROR(__xludf.DUMMYFUNCTION("""COMPUTED_VALUE"""),"-")</f>
        <v>-</v>
      </c>
      <c r="AA2" s="41" t="str">
        <f>IFERROR(__xludf.DUMMYFUNCTION("""COMPUTED_VALUE"""),"Crédit")</f>
        <v>Crédit</v>
      </c>
      <c r="AB2" s="41"/>
      <c r="AC2" s="41"/>
      <c r="AD2" s="41"/>
      <c r="AE2" s="41"/>
      <c r="AF2" s="41"/>
      <c r="AG2" s="41"/>
      <c r="AH2" s="41"/>
      <c r="AI2" s="41"/>
      <c r="AJ2" s="41"/>
      <c r="AK2" s="41"/>
    </row>
    <row r="3">
      <c r="A3" s="10" t="s">
        <v>66</v>
      </c>
      <c r="B3" s="10" t="s">
        <v>67</v>
      </c>
      <c r="C3" s="10" t="s">
        <v>68</v>
      </c>
      <c r="D3" s="10"/>
      <c r="E3" s="10"/>
      <c r="F3" s="12" t="s">
        <v>73</v>
      </c>
      <c r="G3" s="10"/>
      <c r="H3" s="10" t="s">
        <v>74</v>
      </c>
      <c r="I3" s="10" t="s">
        <v>75</v>
      </c>
      <c r="J3" s="10" t="s">
        <v>74</v>
      </c>
      <c r="K3" s="10" t="s">
        <v>76</v>
      </c>
      <c r="L3" s="12"/>
      <c r="M3" s="29">
        <f t="shared" si="1"/>
        <v>0</v>
      </c>
      <c r="N3" s="31">
        <f>IFERROR(__xludf.DUMMYFUNCTION("IF(Account!$F3&lt;&gt;"""", VALUE(REGEXREPLACE($I3, ""\,"", ""."")), """")"),-4012.65)</f>
        <v>-4012.65</v>
      </c>
      <c r="O3" s="33">
        <f>IF(Account!$F3&lt;&gt;"", DATEVALUE(MID($A3,4,3) &amp; LEFT($A3,3) &amp; RIGHT($A3,4)) + TIMEVALUE($B3), "")</f>
        <v>43643.29167</v>
      </c>
      <c r="P3" s="34">
        <f>IF(Account!$F3&lt;&gt;"", DATEVALUE(MID($C3,4,3) &amp; LEFT($C3,3) &amp; RIGHT($C3,4)), "")</f>
        <v>43642</v>
      </c>
      <c r="Q3" s="35" t="str">
        <f t="array" ref="Q3">IF($R3&lt;&gt;"",IFERROR(INDEX(Investment!$A:$A,MATCH($R3,Investment!$H:$H,0))),)</f>
        <v>Long term US bonds (20-25 year)</v>
      </c>
      <c r="R3" s="36" t="str">
        <f t="array" ref="R3">IF(AND($Y3="change",$H3="EUR"),IF(AND($AA3="Crédit",$O3=$O4),$R4,IF(AND($AA3="Débit",$O3=$O2),$R2)),IF(OR(AND(OR($E3&lt;&gt;"",$M3=""),$N3&lt;&gt;0),$A3=""),IFERROR(INDEX(Investment!$H:$H,MATCH($E3,Investment!$F:$F,0))),IFERROR(INDEX($R4:$R1119,MATCH(SUBSTITUTE($I3,"-","",1),$K4:$K1119,0)),INDEX($R4:$R1119,MATCH($K3,$K4:$K1119,0)))))</f>
        <v>iShares Treasury Bond 20+ UCITS</v>
      </c>
      <c r="S3" s="35" t="str">
        <f t="shared" si="2"/>
        <v>DIVIDEND</v>
      </c>
      <c r="T3" s="37" t="str">
        <f t="shared" si="3"/>
        <v/>
      </c>
      <c r="U3" s="38" t="str">
        <f t="shared" si="4"/>
        <v/>
      </c>
      <c r="V3" s="31">
        <f t="shared" si="5"/>
        <v>-487.06</v>
      </c>
      <c r="W3" s="39" t="str">
        <f>IFERROR(__xludf.DUMMYFUNCTION(" IF(Account!$F3&lt;&gt;"""", SPLIT(Account!$F3, "" ""), """")"),"Opération")</f>
        <v>Opération</v>
      </c>
      <c r="X3" s="40" t="str">
        <f>IFERROR(__xludf.DUMMYFUNCTION("""COMPUTED_VALUE"""),"de")</f>
        <v>de</v>
      </c>
      <c r="Y3" s="41" t="str">
        <f>IFERROR(__xludf.DUMMYFUNCTION("""COMPUTED_VALUE"""),"change")</f>
        <v>change</v>
      </c>
      <c r="Z3" s="41" t="str">
        <f>IFERROR(__xludf.DUMMYFUNCTION("""COMPUTED_VALUE"""),"-")</f>
        <v>-</v>
      </c>
      <c r="AA3" s="41" t="str">
        <f>IFERROR(__xludf.DUMMYFUNCTION("""COMPUTED_VALUE"""),"Débit")</f>
        <v>Débit</v>
      </c>
      <c r="AB3" s="41"/>
      <c r="AC3" s="41"/>
      <c r="AD3" s="41"/>
      <c r="AE3" s="41"/>
      <c r="AF3" s="41"/>
      <c r="AG3" s="41"/>
      <c r="AH3" s="41"/>
      <c r="AI3" s="41"/>
      <c r="AJ3" s="41"/>
      <c r="AK3" s="41"/>
    </row>
    <row r="4">
      <c r="A4" s="10" t="s">
        <v>68</v>
      </c>
      <c r="B4" s="10" t="s">
        <v>78</v>
      </c>
      <c r="C4" s="10" t="s">
        <v>68</v>
      </c>
      <c r="D4" s="10"/>
      <c r="E4" s="10"/>
      <c r="F4" s="12" t="s">
        <v>79</v>
      </c>
      <c r="G4" s="10"/>
      <c r="H4" s="10" t="s">
        <v>70</v>
      </c>
      <c r="I4" s="10" t="s">
        <v>80</v>
      </c>
      <c r="J4" s="10" t="s">
        <v>70</v>
      </c>
      <c r="K4" s="10" t="s">
        <v>81</v>
      </c>
      <c r="L4" s="12"/>
      <c r="M4" s="29" t="str">
        <f t="shared" si="1"/>
        <v/>
      </c>
      <c r="N4" s="31">
        <f>IFERROR(__xludf.DUMMYFUNCTION("IF(Account!$F4&lt;&gt;"""", VALUE(REGEXREPLACE($I4, ""\,"", ""."")), """")"),2000.0)</f>
        <v>2000</v>
      </c>
      <c r="O4" s="33">
        <f>IF(Account!$F4&lt;&gt;"", DATEVALUE(MID($A4,4,3) &amp; LEFT($A4,3) &amp; RIGHT($A4,4)) + TIMEVALUE($B4), "")</f>
        <v>43642.65208</v>
      </c>
      <c r="P4" s="34">
        <f>IF(Account!$F4&lt;&gt;"", DATEVALUE(MID($C4,4,3) &amp; LEFT($C4,3) &amp; RIGHT($C4,4)), "")</f>
        <v>43642</v>
      </c>
      <c r="Q4" s="35" t="str">
        <f t="array" ref="Q4">IF($R4&lt;&gt;"",IFERROR(INDEX(Investment!$A:$A,MATCH($R4,Investment!$H:$H,0))),)</f>
        <v/>
      </c>
      <c r="R4" s="36" t="str">
        <f t="array" ref="R4">IF(AND($Y4="change",$H4="EUR"),IF(AND($AA4="Crédit",$O4=$O5),$R5,IF(AND($AA4="Débit",$O4=$O3),$R3)),IF(OR(AND(OR($E4&lt;&gt;"",$M4=""),$N4&lt;&gt;0),$A4=""),IFERROR(INDEX(Investment!$H:$H,MATCH($E4,Investment!$F:$F,0))),IFERROR(INDEX($R5:$R1119,MATCH(SUBSTITUTE($I4,"-","",1),$K5:$K1119,0)),INDEX($R5:$R1119,MATCH($K4,$K5:$K1119,0)))))</f>
        <v/>
      </c>
      <c r="S4" s="35" t="str">
        <f t="shared" si="2"/>
        <v>APPROVISIONNEMENT</v>
      </c>
      <c r="T4" s="37" t="str">
        <f t="shared" si="3"/>
        <v/>
      </c>
      <c r="U4" s="38" t="str">
        <f t="shared" si="4"/>
        <v/>
      </c>
      <c r="V4" s="31">
        <f t="shared" si="5"/>
        <v>2000</v>
      </c>
      <c r="W4" s="39" t="str">
        <f>IFERROR(__xludf.DUMMYFUNCTION(" IF(Account!$F4&lt;&gt;"""", SPLIT(Account!$F4, "" ""), """")"),"Versement")</f>
        <v>Versement</v>
      </c>
      <c r="X4" s="54" t="str">
        <f>IFERROR(__xludf.DUMMYFUNCTION("""COMPUTED_VALUE"""),"de")</f>
        <v>de</v>
      </c>
      <c r="Y4" s="54" t="str">
        <f>IFERROR(__xludf.DUMMYFUNCTION("""COMPUTED_VALUE"""),"fonds")</f>
        <v>fonds</v>
      </c>
      <c r="Z4" s="54"/>
      <c r="AA4" s="54"/>
      <c r="AB4" s="54"/>
      <c r="AC4" s="54"/>
      <c r="AD4" s="54"/>
      <c r="AE4" s="54"/>
      <c r="AF4" s="54"/>
      <c r="AG4" s="54"/>
      <c r="AH4" s="54"/>
      <c r="AI4" s="54"/>
      <c r="AJ4" s="54"/>
      <c r="AK4" s="54"/>
    </row>
    <row r="5">
      <c r="A5" s="10" t="s">
        <v>68</v>
      </c>
      <c r="B5" s="10" t="s">
        <v>82</v>
      </c>
      <c r="C5" s="10" t="s">
        <v>68</v>
      </c>
      <c r="D5" s="10" t="s">
        <v>83</v>
      </c>
      <c r="E5" s="10" t="s">
        <v>84</v>
      </c>
      <c r="F5" s="12" t="s">
        <v>85</v>
      </c>
      <c r="G5" s="10"/>
      <c r="H5" s="10" t="s">
        <v>74</v>
      </c>
      <c r="I5" s="10" t="s">
        <v>86</v>
      </c>
      <c r="J5" s="10" t="s">
        <v>74</v>
      </c>
      <c r="K5" s="10" t="s">
        <v>86</v>
      </c>
      <c r="L5" s="12"/>
      <c r="M5" s="29" t="str">
        <f t="shared" si="1"/>
        <v/>
      </c>
      <c r="N5" s="31">
        <f>IFERROR(__xludf.DUMMYFUNCTION("IF(Account!$F5&lt;&gt;"""", VALUE(REGEXREPLACE($I5, ""\,"", ""."")), """")"),4012.65)</f>
        <v>4012.65</v>
      </c>
      <c r="O5" s="33">
        <f>IF(Account!$F5&lt;&gt;"", DATEVALUE(MID($A5,4,3) &amp; LEFT($A5,3) &amp; RIGHT($A5,4)) + TIMEVALUE($B5), "")</f>
        <v>43642.325</v>
      </c>
      <c r="P5" s="34">
        <f>IF(Account!$F5&lt;&gt;"", DATEVALUE(MID($C5,4,3) &amp; LEFT($C5,3) &amp; RIGHT($C5,4)), "")</f>
        <v>43642</v>
      </c>
      <c r="Q5" s="35" t="str">
        <f t="array" ref="Q5">IF($R5&lt;&gt;"",IFERROR(INDEX(Investment!$A:$A,MATCH($R5,Investment!$H:$H,0))),)</f>
        <v>Long term US bonds (20-25 year)</v>
      </c>
      <c r="R5" s="36" t="str">
        <f t="array" ref="R5">IF(AND($Y5="change",$H5="EUR"),IF(AND($AA5="Crédit",$O5=$O6),$R6,IF(AND($AA5="Débit",$O5=$O4),$R4)),IF(OR(AND(OR($E5&lt;&gt;"",$M5=""),$N5&lt;&gt;0),$A5=""),IFERROR(INDEX(Investment!$H:$H,MATCH($E5,Investment!$F:$F,0))),IFERROR(INDEX($R6:$R1119,MATCH(SUBSTITUTE($I5,"-","",1),$K6:$K1119,0)),INDEX($R6:$R1119,MATCH($K5,$K6:$K1119,0)))))</f>
        <v>iShares Treasury Bond 20+ UCITS</v>
      </c>
      <c r="S5" s="35" t="str">
        <f t="shared" si="2"/>
        <v>DIVIDEND</v>
      </c>
      <c r="T5" s="37" t="str">
        <f t="shared" si="3"/>
        <v/>
      </c>
      <c r="U5" s="38" t="str">
        <f t="shared" si="4"/>
        <v/>
      </c>
      <c r="V5" s="31">
        <f t="shared" si="5"/>
        <v>4012.65</v>
      </c>
      <c r="W5" s="39" t="str">
        <f>IFERROR(__xludf.DUMMYFUNCTION(" IF(Account!$F5&lt;&gt;"""", SPLIT(Account!$F5, "" ""), """")"),"Dividende")</f>
        <v>Dividende</v>
      </c>
      <c r="X5" s="54"/>
      <c r="Y5" s="54"/>
      <c r="Z5" s="54"/>
      <c r="AA5" s="54"/>
      <c r="AB5" s="54"/>
      <c r="AC5" s="54"/>
      <c r="AD5" s="54"/>
      <c r="AE5" s="54"/>
      <c r="AF5" s="54"/>
      <c r="AG5" s="54"/>
      <c r="AH5" s="54"/>
      <c r="AI5" s="54"/>
      <c r="AJ5" s="54"/>
      <c r="AK5" s="54"/>
    </row>
    <row r="6">
      <c r="A6" s="10" t="s">
        <v>87</v>
      </c>
      <c r="B6" s="10" t="s">
        <v>88</v>
      </c>
      <c r="C6" s="10" t="s">
        <v>87</v>
      </c>
      <c r="D6" s="10" t="s">
        <v>89</v>
      </c>
      <c r="E6" s="10" t="s">
        <v>90</v>
      </c>
      <c r="F6" s="12" t="s">
        <v>91</v>
      </c>
      <c r="G6" s="10"/>
      <c r="H6" s="10" t="s">
        <v>70</v>
      </c>
      <c r="I6" s="10" t="s">
        <v>92</v>
      </c>
      <c r="J6" s="10" t="s">
        <v>70</v>
      </c>
      <c r="K6" s="10" t="s">
        <v>93</v>
      </c>
      <c r="L6" s="12" t="s">
        <v>94</v>
      </c>
      <c r="M6" s="29">
        <f t="shared" si="1"/>
        <v>-9</v>
      </c>
      <c r="N6" s="31">
        <f>IFERROR(__xludf.DUMMYFUNCTION("IF(Account!$F6&lt;&gt;"""", VALUE(REGEXREPLACE($I6, ""\,"", ""."")), """")"),1078.38)</f>
        <v>1078.38</v>
      </c>
      <c r="O6" s="33">
        <f>IF(Account!$F6&lt;&gt;"", DATEVALUE(MID($A6,4,3) &amp; LEFT($A6,3) &amp; RIGHT($A6,4)) + TIMEVALUE($B6), "")</f>
        <v>43641.51528</v>
      </c>
      <c r="P6" s="34">
        <f>IF(Account!$F6&lt;&gt;"", DATEVALUE(MID($C6,4,3) &amp; LEFT($C6,3) &amp; RIGHT($C6,4)), "")</f>
        <v>43641</v>
      </c>
      <c r="Q6" s="35" t="str">
        <f t="array" ref="Q6">IF($R6&lt;&gt;"",IFERROR(INDEX(Investment!$A:$A,MATCH($R6,Investment!$H:$H,0))),)</f>
        <v>Gold</v>
      </c>
      <c r="R6" s="36" t="str">
        <f t="array" ref="R6">IF(AND($Y6="change",$H6="EUR"),IF(AND($AA6="Crédit",$O6=$O7),$R7,IF(AND($AA6="Débit",$O6=$O5),$R5)),IF(OR(AND(OR($E6&lt;&gt;"",$M6=""),$N6&lt;&gt;0),$A6=""),IFERROR(INDEX(Investment!$H:$H,MATCH($E6,Investment!$F:$F,0))),IFERROR(INDEX($R7:$R1119,MATCH(SUBSTITUTE($I6,"-","",1),$K7:$K1119,0)),INDEX($R7:$R1119,MATCH($K6,$K7:$K1119,0)))))</f>
        <v>ETFS Physical Gold</v>
      </c>
      <c r="S6" s="35" t="str">
        <f t="shared" si="2"/>
        <v>SELL</v>
      </c>
      <c r="T6" s="37">
        <f t="shared" si="3"/>
        <v>-9</v>
      </c>
      <c r="U6" s="38">
        <f t="shared" si="4"/>
        <v>119.82</v>
      </c>
      <c r="V6" s="31">
        <f t="shared" si="5"/>
        <v>1078.38</v>
      </c>
      <c r="W6" s="39" t="str">
        <f>IFERROR(__xludf.DUMMYFUNCTION(" IF(Account!$F6&lt;&gt;"""", SPLIT(Account!$F6, "" ""), """")"),"Vente")</f>
        <v>Vente</v>
      </c>
      <c r="X6" s="54">
        <f>IFERROR(__xludf.DUMMYFUNCTION("""COMPUTED_VALUE"""),9.0)</f>
        <v>9</v>
      </c>
      <c r="Y6" s="54" t="str">
        <f>IFERROR(__xludf.DUMMYFUNCTION("""COMPUTED_VALUE"""),"ETFS")</f>
        <v>ETFS</v>
      </c>
      <c r="Z6" s="54" t="str">
        <f>IFERROR(__xludf.DUMMYFUNCTION("""COMPUTED_VALUE"""),"PHYSICALGOLD@119,82")</f>
        <v>PHYSICALGOLD@119,82</v>
      </c>
      <c r="AA6" s="54" t="str">
        <f>IFERROR(__xludf.DUMMYFUNCTION("""COMPUTED_VALUE"""),"EUR")</f>
        <v>EUR</v>
      </c>
      <c r="AB6" s="54" t="str">
        <f>IFERROR(__xludf.DUMMYFUNCTION("""COMPUTED_VALUE"""),"(JE00B1VS3770)")</f>
        <v>(JE00B1VS3770)</v>
      </c>
      <c r="AC6" s="54"/>
      <c r="AD6" s="54"/>
      <c r="AE6" s="54"/>
      <c r="AF6" s="54"/>
      <c r="AG6" s="54"/>
      <c r="AH6" s="54"/>
      <c r="AI6" s="54"/>
      <c r="AJ6" s="54"/>
      <c r="AK6" s="54"/>
    </row>
    <row r="7">
      <c r="A7" s="10" t="s">
        <v>95</v>
      </c>
      <c r="B7" s="10" t="s">
        <v>96</v>
      </c>
      <c r="C7" s="10" t="s">
        <v>95</v>
      </c>
      <c r="D7" s="10" t="s">
        <v>89</v>
      </c>
      <c r="E7" s="10" t="s">
        <v>90</v>
      </c>
      <c r="F7" s="12" t="s">
        <v>97</v>
      </c>
      <c r="G7" s="10"/>
      <c r="H7" s="10" t="s">
        <v>70</v>
      </c>
      <c r="I7" s="10" t="s">
        <v>98</v>
      </c>
      <c r="J7" s="10" t="s">
        <v>70</v>
      </c>
      <c r="K7" s="10" t="s">
        <v>99</v>
      </c>
      <c r="L7" s="12" t="s">
        <v>100</v>
      </c>
      <c r="M7" s="29">
        <f t="shared" si="1"/>
        <v>-9</v>
      </c>
      <c r="N7" s="31">
        <f>IFERROR(__xludf.DUMMYFUNCTION("IF(Account!$F7&lt;&gt;"""", VALUE(REGEXREPLACE($I7, ""\,"", ""."")), """")"),1058.94)</f>
        <v>1058.94</v>
      </c>
      <c r="O7" s="33">
        <f>IF(Account!$F7&lt;&gt;"", DATEVALUE(MID($A7,4,3) &amp; LEFT($A7,3) &amp; RIGHT($A7,4)) + TIMEVALUE($B7), "")</f>
        <v>43640.46667</v>
      </c>
      <c r="P7" s="34">
        <f>IF(Account!$F7&lt;&gt;"", DATEVALUE(MID($C7,4,3) &amp; LEFT($C7,3) &amp; RIGHT($C7,4)), "")</f>
        <v>43640</v>
      </c>
      <c r="Q7" s="35" t="str">
        <f t="array" ref="Q7">IF($R7&lt;&gt;"",IFERROR(INDEX(Investment!$A:$A,MATCH($R7,Investment!$H:$H,0))),)</f>
        <v>Gold</v>
      </c>
      <c r="R7" s="36" t="str">
        <f t="array" ref="R7">IF(AND($Y7="change",$H7="EUR"),IF(AND($AA7="Crédit",$O7=$O8),$R8,IF(AND($AA7="Débit",$O7=$O6),$R6)),IF(OR(AND(OR($E7&lt;&gt;"",$M7=""),$N7&lt;&gt;0),$A7=""),IFERROR(INDEX(Investment!$H:$H,MATCH($E7,Investment!$F:$F,0))),IFERROR(INDEX($R8:$R1119,MATCH(SUBSTITUTE($I7,"-","",1),$K8:$K1119,0)),INDEX($R8:$R1119,MATCH($K7,$K8:$K1119,0)))))</f>
        <v>ETFS Physical Gold</v>
      </c>
      <c r="S7" s="35" t="str">
        <f t="shared" si="2"/>
        <v>SELL</v>
      </c>
      <c r="T7" s="37">
        <f t="shared" si="3"/>
        <v>-9</v>
      </c>
      <c r="U7" s="38">
        <f t="shared" si="4"/>
        <v>117.66</v>
      </c>
      <c r="V7" s="31">
        <f t="shared" si="5"/>
        <v>1058.94</v>
      </c>
      <c r="W7" s="39" t="str">
        <f>IFERROR(__xludf.DUMMYFUNCTION(" IF(Account!$F7&lt;&gt;"""", SPLIT(Account!$F7, "" ""), """")"),"Vente")</f>
        <v>Vente</v>
      </c>
      <c r="X7" s="54">
        <f>IFERROR(__xludf.DUMMYFUNCTION("""COMPUTED_VALUE"""),9.0)</f>
        <v>9</v>
      </c>
      <c r="Y7" s="54" t="str">
        <f>IFERROR(__xludf.DUMMYFUNCTION("""COMPUTED_VALUE"""),"ETFS")</f>
        <v>ETFS</v>
      </c>
      <c r="Z7" s="54" t="str">
        <f>IFERROR(__xludf.DUMMYFUNCTION("""COMPUTED_VALUE"""),"PHYSICALGOLD@117,66")</f>
        <v>PHYSICALGOLD@117,66</v>
      </c>
      <c r="AA7" s="54" t="str">
        <f>IFERROR(__xludf.DUMMYFUNCTION("""COMPUTED_VALUE"""),"EUR")</f>
        <v>EUR</v>
      </c>
      <c r="AB7" s="54" t="str">
        <f>IFERROR(__xludf.DUMMYFUNCTION("""COMPUTED_VALUE"""),"(JE00B1VS3770)")</f>
        <v>(JE00B1VS3770)</v>
      </c>
      <c r="AC7" s="54"/>
      <c r="AD7" s="54"/>
      <c r="AE7" s="54"/>
      <c r="AF7" s="54"/>
      <c r="AG7" s="54"/>
      <c r="AH7" s="54"/>
      <c r="AI7" s="54"/>
      <c r="AJ7" s="54"/>
      <c r="AK7" s="54"/>
    </row>
    <row r="8">
      <c r="A8" s="10" t="s">
        <v>95</v>
      </c>
      <c r="B8" s="10" t="s">
        <v>101</v>
      </c>
      <c r="C8" s="10" t="s">
        <v>95</v>
      </c>
      <c r="D8" s="10" t="s">
        <v>89</v>
      </c>
      <c r="E8" s="10" t="s">
        <v>90</v>
      </c>
      <c r="F8" s="12" t="s">
        <v>102</v>
      </c>
      <c r="G8" s="10"/>
      <c r="H8" s="10" t="s">
        <v>70</v>
      </c>
      <c r="I8" s="10" t="s">
        <v>103</v>
      </c>
      <c r="J8" s="10" t="s">
        <v>70</v>
      </c>
      <c r="K8" s="10" t="s">
        <v>104</v>
      </c>
      <c r="L8" s="12" t="s">
        <v>105</v>
      </c>
      <c r="M8" s="29">
        <f t="shared" si="1"/>
        <v>-16</v>
      </c>
      <c r="N8" s="31">
        <f>IFERROR(__xludf.DUMMYFUNCTION("IF(Account!$F8&lt;&gt;"""", VALUE(REGEXREPLACE($I8, ""\,"", ""."")), """")"),1882.56)</f>
        <v>1882.56</v>
      </c>
      <c r="O8" s="33">
        <f>IF(Account!$F8&lt;&gt;"", DATEVALUE(MID($A8,4,3) &amp; LEFT($A8,3) &amp; RIGHT($A8,4)) + TIMEVALUE($B8), "")</f>
        <v>43640.46042</v>
      </c>
      <c r="P8" s="34">
        <f>IF(Account!$F8&lt;&gt;"", DATEVALUE(MID($C8,4,3) &amp; LEFT($C8,3) &amp; RIGHT($C8,4)), "")</f>
        <v>43640</v>
      </c>
      <c r="Q8" s="35" t="str">
        <f t="array" ref="Q8">IF($R8&lt;&gt;"",IFERROR(INDEX(Investment!$A:$A,MATCH($R8,Investment!$H:$H,0))),)</f>
        <v>Gold</v>
      </c>
      <c r="R8" s="36" t="str">
        <f t="array" ref="R8">IF(AND($Y8="change",$H8="EUR"),IF(AND($AA8="Crédit",$O8=$O9),$R9,IF(AND($AA8="Débit",$O8=$O7),$R7)),IF(OR(AND(OR($E8&lt;&gt;"",$M8=""),$N8&lt;&gt;0),$A8=""),IFERROR(INDEX(Investment!$H:$H,MATCH($E8,Investment!$F:$F,0))),IFERROR(INDEX($R9:$R1119,MATCH(SUBSTITUTE($I8,"-","",1),$K9:$K1119,0)),INDEX($R9:$R1119,MATCH($K8,$K9:$K1119,0)))))</f>
        <v>ETFS Physical Gold</v>
      </c>
      <c r="S8" s="35" t="str">
        <f t="shared" si="2"/>
        <v>SELL</v>
      </c>
      <c r="T8" s="37">
        <f t="shared" si="3"/>
        <v>-16</v>
      </c>
      <c r="U8" s="38">
        <f t="shared" si="4"/>
        <v>117.66</v>
      </c>
      <c r="V8" s="31">
        <f t="shared" si="5"/>
        <v>1882.56</v>
      </c>
      <c r="W8" s="39" t="str">
        <f>IFERROR(__xludf.DUMMYFUNCTION(" IF(Account!$F8&lt;&gt;"""", SPLIT(Account!$F8, "" ""), """")"),"Vente")</f>
        <v>Vente</v>
      </c>
      <c r="X8" s="54">
        <f>IFERROR(__xludf.DUMMYFUNCTION("""COMPUTED_VALUE"""),16.0)</f>
        <v>16</v>
      </c>
      <c r="Y8" s="54" t="str">
        <f>IFERROR(__xludf.DUMMYFUNCTION("""COMPUTED_VALUE"""),"ETFS")</f>
        <v>ETFS</v>
      </c>
      <c r="Z8" s="54" t="str">
        <f>IFERROR(__xludf.DUMMYFUNCTION("""COMPUTED_VALUE"""),"PHYSICALGOLD@117,66")</f>
        <v>PHYSICALGOLD@117,66</v>
      </c>
      <c r="AA8" s="54" t="str">
        <f>IFERROR(__xludf.DUMMYFUNCTION("""COMPUTED_VALUE"""),"EUR")</f>
        <v>EUR</v>
      </c>
      <c r="AB8" s="54" t="str">
        <f>IFERROR(__xludf.DUMMYFUNCTION("""COMPUTED_VALUE"""),"(JE00B1VS3770)")</f>
        <v>(JE00B1VS3770)</v>
      </c>
      <c r="AC8" s="54"/>
      <c r="AD8" s="54"/>
      <c r="AE8" s="54"/>
      <c r="AF8" s="54"/>
      <c r="AG8" s="54"/>
      <c r="AH8" s="54"/>
      <c r="AI8" s="54"/>
      <c r="AJ8" s="54"/>
      <c r="AK8" s="54"/>
    </row>
    <row r="9">
      <c r="A9" s="10" t="s">
        <v>95</v>
      </c>
      <c r="B9" s="10" t="s">
        <v>106</v>
      </c>
      <c r="C9" s="10" t="s">
        <v>95</v>
      </c>
      <c r="D9" s="10" t="s">
        <v>107</v>
      </c>
      <c r="E9" s="10" t="s">
        <v>108</v>
      </c>
      <c r="F9" s="12" t="s">
        <v>109</v>
      </c>
      <c r="G9" s="10"/>
      <c r="H9" s="10" t="s">
        <v>70</v>
      </c>
      <c r="I9" s="10" t="s">
        <v>110</v>
      </c>
      <c r="J9" s="10" t="s">
        <v>70</v>
      </c>
      <c r="K9" s="10" t="s">
        <v>111</v>
      </c>
      <c r="L9" s="12" t="s">
        <v>112</v>
      </c>
      <c r="M9" s="29">
        <f t="shared" si="1"/>
        <v>1013</v>
      </c>
      <c r="N9" s="31">
        <f>IFERROR(__xludf.DUMMYFUNCTION("IF(Account!$F9&lt;&gt;"""", VALUE(REGEXREPLACE($I9, ""\,"", ""."")), """")"),-7195.34)</f>
        <v>-7195.34</v>
      </c>
      <c r="O9" s="33">
        <f>IF(Account!$F9&lt;&gt;"", DATEVALUE(MID($A9,4,3) &amp; LEFT($A9,3) &amp; RIGHT($A9,4)) + TIMEVALUE($B9), "")</f>
        <v>43640.41944</v>
      </c>
      <c r="P9" s="34">
        <f>IF(Account!$F9&lt;&gt;"", DATEVALUE(MID($C9,4,3) &amp; LEFT($C9,3) &amp; RIGHT($C9,4)), "")</f>
        <v>43640</v>
      </c>
      <c r="Q9" s="35" t="str">
        <f t="array" ref="Q9">IF($R9&lt;&gt;"",IFERROR(INDEX(Investment!$A:$A,MATCH($R9,Investment!$H:$H,0))),)</f>
        <v>Commodities</v>
      </c>
      <c r="R9" s="36" t="str">
        <f t="array" ref="R9">IF(AND($Y9="change",$H9="EUR"),IF(AND($AA9="Crédit",$O9=$O10),$R10,IF(AND($AA9="Débit",$O9=$O8),$R8)),IF(OR(AND(OR($E9&lt;&gt;"",$M9=""),$N9&lt;&gt;0),$A9=""),IFERROR(INDEX(Investment!$H:$H,MATCH($E9,Investment!$F:$F,0))),IFERROR(INDEX($R10:$R1119,MATCH(SUBSTITUTE($I9,"-","",1),$K10:$K1119,0)),INDEX($R10:$R1119,MATCH($K9,$K10:$K1119,0)))))</f>
        <v>ETFS All Commodities ETC</v>
      </c>
      <c r="S9" s="35" t="str">
        <f t="shared" si="2"/>
        <v>BUY</v>
      </c>
      <c r="T9" s="37">
        <f t="shared" si="3"/>
        <v>1013</v>
      </c>
      <c r="U9" s="38">
        <f t="shared" si="4"/>
        <v>7.103000987</v>
      </c>
      <c r="V9" s="31">
        <f t="shared" si="5"/>
        <v>-7195.34</v>
      </c>
      <c r="W9" s="39" t="str">
        <f>IFERROR(__xludf.DUMMYFUNCTION(" IF(Account!$F9&lt;&gt;"""", SPLIT(Account!$F9, "" ""), """")"),"Achat")</f>
        <v>Achat</v>
      </c>
      <c r="X9" s="54" t="str">
        <f>IFERROR(__xludf.DUMMYFUNCTION("""COMPUTED_VALUE"""),"1 013")</f>
        <v>1 013</v>
      </c>
      <c r="Y9" s="54" t="str">
        <f>IFERROR(__xludf.DUMMYFUNCTION("""COMPUTED_VALUE"""),"ETFS")</f>
        <v>ETFS</v>
      </c>
      <c r="Z9" s="54" t="str">
        <f>IFERROR(__xludf.DUMMYFUNCTION("""COMPUTED_VALUE"""),"ALL")</f>
        <v>ALL</v>
      </c>
      <c r="AA9" s="54" t="str">
        <f>IFERROR(__xludf.DUMMYFUNCTION("""COMPUTED_VALUE"""),"COMMODIT.@7,103")</f>
        <v>COMMODIT.@7,103</v>
      </c>
      <c r="AB9" s="54" t="str">
        <f>IFERROR(__xludf.DUMMYFUNCTION("""COMPUTED_VALUE"""),"EUR")</f>
        <v>EUR</v>
      </c>
      <c r="AC9" s="54" t="str">
        <f>IFERROR(__xludf.DUMMYFUNCTION("""COMPUTED_VALUE"""),"(GB00B15KY989)")</f>
        <v>(GB00B15KY989)</v>
      </c>
      <c r="AD9" s="54"/>
      <c r="AE9" s="54"/>
      <c r="AF9" s="54"/>
      <c r="AG9" s="54"/>
      <c r="AH9" s="54"/>
      <c r="AI9" s="54"/>
      <c r="AJ9" s="54"/>
      <c r="AK9" s="54"/>
    </row>
    <row r="10">
      <c r="A10" s="10" t="s">
        <v>113</v>
      </c>
      <c r="B10" s="10" t="s">
        <v>114</v>
      </c>
      <c r="C10" s="10" t="s">
        <v>113</v>
      </c>
      <c r="D10" s="10" t="s">
        <v>107</v>
      </c>
      <c r="E10" s="10" t="s">
        <v>108</v>
      </c>
      <c r="F10" s="12" t="s">
        <v>115</v>
      </c>
      <c r="G10" s="10"/>
      <c r="H10" s="10" t="s">
        <v>70</v>
      </c>
      <c r="I10" s="10" t="s">
        <v>116</v>
      </c>
      <c r="J10" s="10" t="s">
        <v>70</v>
      </c>
      <c r="K10" s="10" t="s">
        <v>117</v>
      </c>
      <c r="L10" s="12" t="s">
        <v>118</v>
      </c>
      <c r="M10" s="29">
        <f t="shared" si="1"/>
        <v>1762</v>
      </c>
      <c r="N10" s="31">
        <f>IFERROR(__xludf.DUMMYFUNCTION("IF(Account!$F10&lt;&gt;"""", VALUE(REGEXREPLACE($I10, ""\,"", ""."")), """")"),-12267.04)</f>
        <v>-12267.04</v>
      </c>
      <c r="O10" s="33">
        <f>IF(Account!$F10&lt;&gt;"", DATEVALUE(MID($A10,4,3) &amp; LEFT($A10,3) &amp; RIGHT($A10,4)) + TIMEVALUE($B10), "")</f>
        <v>43627.40972</v>
      </c>
      <c r="P10" s="34">
        <f>IF(Account!$F10&lt;&gt;"", DATEVALUE(MID($C10,4,3) &amp; LEFT($C10,3) &amp; RIGHT($C10,4)), "")</f>
        <v>43627</v>
      </c>
      <c r="Q10" s="35" t="str">
        <f t="array" ref="Q10">IF($R10&lt;&gt;"",IFERROR(INDEX(Investment!$A:$A,MATCH($R10,Investment!$H:$H,0))),)</f>
        <v>Commodities</v>
      </c>
      <c r="R10" s="36" t="str">
        <f t="array" ref="R10">IF(AND($Y10="change",$H10="EUR"),IF(AND($AA10="Crédit",$O10=$O11),$R11,IF(AND($AA10="Débit",$O10=$O9),$R9)),IF(OR(AND(OR($E10&lt;&gt;"",$M10=""),$N10&lt;&gt;0),$A10=""),IFERROR(INDEX(Investment!$H:$H,MATCH($E10,Investment!$F:$F,0))),IFERROR(INDEX($R11:$R1119,MATCH(SUBSTITUTE($I10,"-","",1),$K11:$K1119,0)),INDEX($R11:$R1119,MATCH($K10,$K11:$K1119,0)))))</f>
        <v>ETFS All Commodities ETC</v>
      </c>
      <c r="S10" s="35" t="str">
        <f t="shared" si="2"/>
        <v>BUY</v>
      </c>
      <c r="T10" s="37">
        <f t="shared" si="3"/>
        <v>1762</v>
      </c>
      <c r="U10" s="38">
        <f t="shared" si="4"/>
        <v>6.96199773</v>
      </c>
      <c r="V10" s="31">
        <f t="shared" si="5"/>
        <v>-12267.04</v>
      </c>
      <c r="W10" s="39" t="str">
        <f>IFERROR(__xludf.DUMMYFUNCTION(" IF(Account!$F10&lt;&gt;"""", SPLIT(Account!$F10, "" ""), """")"),"Achat")</f>
        <v>Achat</v>
      </c>
      <c r="X10" s="54" t="str">
        <f>IFERROR(__xludf.DUMMYFUNCTION("""COMPUTED_VALUE"""),"1 762")</f>
        <v>1 762</v>
      </c>
      <c r="Y10" s="54" t="str">
        <f>IFERROR(__xludf.DUMMYFUNCTION("""COMPUTED_VALUE"""),"ETFS")</f>
        <v>ETFS</v>
      </c>
      <c r="Z10" s="54" t="str">
        <f>IFERROR(__xludf.DUMMYFUNCTION("""COMPUTED_VALUE"""),"ALL")</f>
        <v>ALL</v>
      </c>
      <c r="AA10" s="54" t="str">
        <f>IFERROR(__xludf.DUMMYFUNCTION("""COMPUTED_VALUE"""),"COMMODIT.@6,962")</f>
        <v>COMMODIT.@6,962</v>
      </c>
      <c r="AB10" s="54" t="str">
        <f>IFERROR(__xludf.DUMMYFUNCTION("""COMPUTED_VALUE"""),"EUR")</f>
        <v>EUR</v>
      </c>
      <c r="AC10" s="54" t="str">
        <f>IFERROR(__xludf.DUMMYFUNCTION("""COMPUTED_VALUE"""),"(GB00B15KY989)")</f>
        <v>(GB00B15KY989)</v>
      </c>
      <c r="AD10" s="54"/>
      <c r="AE10" s="54"/>
      <c r="AF10" s="54"/>
      <c r="AG10" s="54"/>
      <c r="AH10" s="54"/>
      <c r="AI10" s="54"/>
      <c r="AJ10" s="54"/>
      <c r="AK10" s="54"/>
    </row>
    <row r="11">
      <c r="A11" s="10" t="s">
        <v>113</v>
      </c>
      <c r="B11" s="10" t="s">
        <v>119</v>
      </c>
      <c r="C11" s="10" t="s">
        <v>113</v>
      </c>
      <c r="D11" s="10" t="s">
        <v>107</v>
      </c>
      <c r="E11" s="10" t="s">
        <v>108</v>
      </c>
      <c r="F11" s="12" t="s">
        <v>120</v>
      </c>
      <c r="G11" s="10"/>
      <c r="H11" s="10" t="s">
        <v>70</v>
      </c>
      <c r="I11" s="10" t="s">
        <v>121</v>
      </c>
      <c r="J11" s="10" t="s">
        <v>70</v>
      </c>
      <c r="K11" s="10" t="s">
        <v>122</v>
      </c>
      <c r="L11" s="12" t="s">
        <v>118</v>
      </c>
      <c r="M11" s="29">
        <f t="shared" si="1"/>
        <v>358</v>
      </c>
      <c r="N11" s="31">
        <f>IFERROR(__xludf.DUMMYFUNCTION("IF(Account!$F11&lt;&gt;"""", VALUE(REGEXREPLACE($I11, ""\,"", ""."")), """")"),-2492.4)</f>
        <v>-2492.4</v>
      </c>
      <c r="O11" s="33">
        <f>IF(Account!$F11&lt;&gt;"", DATEVALUE(MID($A11,4,3) &amp; LEFT($A11,3) &amp; RIGHT($A11,4)) + TIMEVALUE($B11), "")</f>
        <v>43627.40417</v>
      </c>
      <c r="P11" s="34">
        <f>IF(Account!$F11&lt;&gt;"", DATEVALUE(MID($C11,4,3) &amp; LEFT($C11,3) &amp; RIGHT($C11,4)), "")</f>
        <v>43627</v>
      </c>
      <c r="Q11" s="35" t="str">
        <f t="array" ref="Q11">IF($R11&lt;&gt;"",IFERROR(INDEX(Investment!$A:$A,MATCH($R11,Investment!$H:$H,0))),)</f>
        <v>Commodities</v>
      </c>
      <c r="R11" s="36" t="str">
        <f t="array" ref="R11">IF(AND($Y11="change",$H11="EUR"),IF(AND($AA11="Crédit",$O11=$O12),$R12,IF(AND($AA11="Débit",$O11=$O10),$R10)),IF(OR(AND(OR($E11&lt;&gt;"",$M11=""),$N11&lt;&gt;0),$A11=""),IFERROR(INDEX(Investment!$H:$H,MATCH($E11,Investment!$F:$F,0))),IFERROR(INDEX($R12:$R1119,MATCH(SUBSTITUTE($I11,"-","",1),$K12:$K1119,0)),INDEX($R12:$R1119,MATCH($K11,$K12:$K1119,0)))))</f>
        <v>ETFS All Commodities ETC</v>
      </c>
      <c r="S11" s="35" t="str">
        <f t="shared" si="2"/>
        <v>BUY</v>
      </c>
      <c r="T11" s="37">
        <f t="shared" si="3"/>
        <v>518</v>
      </c>
      <c r="U11" s="38">
        <f t="shared" si="4"/>
        <v>6.962007722</v>
      </c>
      <c r="V11" s="31">
        <f t="shared" si="5"/>
        <v>-3606.32</v>
      </c>
      <c r="W11" s="39" t="str">
        <f>IFERROR(__xludf.DUMMYFUNCTION(" IF(Account!$F11&lt;&gt;"""", SPLIT(Account!$F11, "" ""), """")"),"Achat")</f>
        <v>Achat</v>
      </c>
      <c r="X11" s="54">
        <f>IFERROR(__xludf.DUMMYFUNCTION("""COMPUTED_VALUE"""),358.0)</f>
        <v>358</v>
      </c>
      <c r="Y11" s="54" t="str">
        <f>IFERROR(__xludf.DUMMYFUNCTION("""COMPUTED_VALUE"""),"ETFS")</f>
        <v>ETFS</v>
      </c>
      <c r="Z11" s="54" t="str">
        <f>IFERROR(__xludf.DUMMYFUNCTION("""COMPUTED_VALUE"""),"ALL")</f>
        <v>ALL</v>
      </c>
      <c r="AA11" s="54" t="str">
        <f>IFERROR(__xludf.DUMMYFUNCTION("""COMPUTED_VALUE"""),"COMMODIT.@6,962")</f>
        <v>COMMODIT.@6,962</v>
      </c>
      <c r="AB11" s="54" t="str">
        <f>IFERROR(__xludf.DUMMYFUNCTION("""COMPUTED_VALUE"""),"EUR")</f>
        <v>EUR</v>
      </c>
      <c r="AC11" s="54" t="str">
        <f>IFERROR(__xludf.DUMMYFUNCTION("""COMPUTED_VALUE"""),"(GB00B15KY989)")</f>
        <v>(GB00B15KY989)</v>
      </c>
      <c r="AD11" s="54"/>
      <c r="AE11" s="54"/>
      <c r="AF11" s="54"/>
      <c r="AG11" s="54"/>
      <c r="AH11" s="54"/>
      <c r="AI11" s="54"/>
      <c r="AJ11" s="54"/>
      <c r="AK11" s="54"/>
    </row>
    <row r="12">
      <c r="A12" s="10" t="s">
        <v>113</v>
      </c>
      <c r="B12" s="10" t="s">
        <v>119</v>
      </c>
      <c r="C12" s="10" t="s">
        <v>113</v>
      </c>
      <c r="D12" s="10" t="s">
        <v>107</v>
      </c>
      <c r="E12" s="10" t="s">
        <v>108</v>
      </c>
      <c r="F12" s="12" t="s">
        <v>128</v>
      </c>
      <c r="G12" s="10"/>
      <c r="H12" s="10" t="s">
        <v>70</v>
      </c>
      <c r="I12" s="10" t="s">
        <v>129</v>
      </c>
      <c r="J12" s="10" t="s">
        <v>70</v>
      </c>
      <c r="K12" s="10" t="s">
        <v>130</v>
      </c>
      <c r="L12" s="12" t="s">
        <v>118</v>
      </c>
      <c r="M12" s="29">
        <f t="shared" si="1"/>
        <v>160</v>
      </c>
      <c r="N12" s="31">
        <f>IFERROR(__xludf.DUMMYFUNCTION("IF(Account!$F12&lt;&gt;"""", VALUE(REGEXREPLACE($I12, ""\,"", ""."")), """")"),-1113.92)</f>
        <v>-1113.92</v>
      </c>
      <c r="O12" s="33">
        <f>IF(Account!$F12&lt;&gt;"", DATEVALUE(MID($A12,4,3) &amp; LEFT($A12,3) &amp; RIGHT($A12,4)) + TIMEVALUE($B12), "")</f>
        <v>43627.40417</v>
      </c>
      <c r="P12" s="34">
        <f>IF(Account!$F12&lt;&gt;"", DATEVALUE(MID($C12,4,3) &amp; LEFT($C12,3) &amp; RIGHT($C12,4)), "")</f>
        <v>43627</v>
      </c>
      <c r="Q12" s="35" t="str">
        <f t="array" ref="Q12">IF($R12&lt;&gt;"",IFERROR(INDEX(Investment!$A:$A,MATCH($R12,Investment!$H:$H,0))),)</f>
        <v>Commodities</v>
      </c>
      <c r="R12" s="36" t="str">
        <f t="array" ref="R12">IF(AND($Y12="change",$H12="EUR"),IF(AND($AA12="Crédit",$O12=$O13),$R13,IF(AND($AA12="Débit",$O12=$O11),$R11)),IF(OR(AND(OR($E12&lt;&gt;"",$M12=""),$N12&lt;&gt;0),$A12=""),IFERROR(INDEX(Investment!$H:$H,MATCH($E12,Investment!$F:$F,0))),IFERROR(INDEX($R13:$R1119,MATCH(SUBSTITUTE($I12,"-","",1),$K13:$K1119,0)),INDEX($R13:$R1119,MATCH($K12,$K13:$K1119,0)))))</f>
        <v>ETFS All Commodities ETC</v>
      </c>
      <c r="S12" s="35" t="str">
        <f t="shared" si="2"/>
        <v>BUY</v>
      </c>
      <c r="T12" s="37">
        <f t="shared" si="3"/>
        <v>518</v>
      </c>
      <c r="U12" s="38">
        <f t="shared" si="4"/>
        <v>6.962007722</v>
      </c>
      <c r="V12" s="31">
        <f t="shared" si="5"/>
        <v>-3606.32</v>
      </c>
      <c r="W12" s="39" t="str">
        <f>IFERROR(__xludf.DUMMYFUNCTION(" IF(Account!$F12&lt;&gt;"""", SPLIT(Account!$F12, "" ""), """")"),"Achat")</f>
        <v>Achat</v>
      </c>
      <c r="X12" s="54">
        <f>IFERROR(__xludf.DUMMYFUNCTION("""COMPUTED_VALUE"""),160.0)</f>
        <v>160</v>
      </c>
      <c r="Y12" s="54" t="str">
        <f>IFERROR(__xludf.DUMMYFUNCTION("""COMPUTED_VALUE"""),"ETFS")</f>
        <v>ETFS</v>
      </c>
      <c r="Z12" s="54" t="str">
        <f>IFERROR(__xludf.DUMMYFUNCTION("""COMPUTED_VALUE"""),"ALL")</f>
        <v>ALL</v>
      </c>
      <c r="AA12" s="54" t="str">
        <f>IFERROR(__xludf.DUMMYFUNCTION("""COMPUTED_VALUE"""),"COMMODIT.@6,962")</f>
        <v>COMMODIT.@6,962</v>
      </c>
      <c r="AB12" s="54" t="str">
        <f>IFERROR(__xludf.DUMMYFUNCTION("""COMPUTED_VALUE"""),"EUR")</f>
        <v>EUR</v>
      </c>
      <c r="AC12" s="54" t="str">
        <f>IFERROR(__xludf.DUMMYFUNCTION("""COMPUTED_VALUE"""),"(GB00B15KY989)")</f>
        <v>(GB00B15KY989)</v>
      </c>
      <c r="AD12" s="54"/>
      <c r="AE12" s="54"/>
      <c r="AF12" s="54"/>
      <c r="AG12" s="54"/>
      <c r="AH12" s="54"/>
      <c r="AI12" s="54"/>
      <c r="AJ12" s="54"/>
      <c r="AK12" s="54"/>
    </row>
    <row r="13">
      <c r="A13" s="10" t="s">
        <v>113</v>
      </c>
      <c r="B13" s="10" t="s">
        <v>139</v>
      </c>
      <c r="C13" s="10" t="s">
        <v>113</v>
      </c>
      <c r="D13" s="10" t="s">
        <v>140</v>
      </c>
      <c r="E13" s="10" t="s">
        <v>141</v>
      </c>
      <c r="F13" s="12" t="s">
        <v>142</v>
      </c>
      <c r="G13" s="10"/>
      <c r="H13" s="10" t="s">
        <v>70</v>
      </c>
      <c r="I13" s="10" t="s">
        <v>143</v>
      </c>
      <c r="J13" s="10" t="s">
        <v>70</v>
      </c>
      <c r="K13" s="10" t="s">
        <v>144</v>
      </c>
      <c r="L13" s="12" t="s">
        <v>145</v>
      </c>
      <c r="M13" s="29">
        <f t="shared" si="1"/>
        <v>-26</v>
      </c>
      <c r="N13" s="31">
        <f>IFERROR(__xludf.DUMMYFUNCTION("IF(Account!$F13&lt;&gt;"""", VALUE(REGEXREPLACE($I13, ""\,"", ""."")), """")"),1265.0)</f>
        <v>1265</v>
      </c>
      <c r="O13" s="33">
        <f>IF(Account!$F13&lt;&gt;"", DATEVALUE(MID($A13,4,3) &amp; LEFT($A13,3) &amp; RIGHT($A13,4)) + TIMEVALUE($B13), "")</f>
        <v>43627.40139</v>
      </c>
      <c r="P13" s="34">
        <f>IF(Account!$F13&lt;&gt;"", DATEVALUE(MID($C13,4,3) &amp; LEFT($C13,3) &amp; RIGHT($C13,4)), "")</f>
        <v>43627</v>
      </c>
      <c r="Q13" s="35" t="str">
        <f t="array" ref="Q13">IF($R13&lt;&gt;"",IFERROR(INDEX(Investment!$A:$A,MATCH($R13,Investment!$H:$H,0))),)</f>
        <v>Stocks</v>
      </c>
      <c r="R13" s="36" t="str">
        <f t="array" ref="R13">IF(AND($Y13="change",$H13="EUR"),IF(AND($AA13="Crédit",$O13=$O14),$R14,IF(AND($AA13="Débit",$O13=$O12),$R12)),IF(OR(AND(OR($E13&lt;&gt;"",$M13=""),$N13&lt;&gt;0),$A13=""),IFERROR(INDEX(Investment!$H:$H,MATCH($E13,Investment!$F:$F,0))),IFERROR(INDEX($R14:$R1119,MATCH(SUBSTITUTE($I13,"-","",1),$K14:$K1119,0)),INDEX($R14:$R1119,MATCH($K13,$K14:$K1119,0)))))</f>
        <v>Vanguard S&amp;P 500 UCITS</v>
      </c>
      <c r="S13" s="35" t="str">
        <f t="shared" si="2"/>
        <v>SELL</v>
      </c>
      <c r="T13" s="37">
        <f t="shared" si="3"/>
        <v>-26</v>
      </c>
      <c r="U13" s="38">
        <f t="shared" si="4"/>
        <v>48.65384615</v>
      </c>
      <c r="V13" s="31">
        <f t="shared" si="5"/>
        <v>1265</v>
      </c>
      <c r="W13" s="39" t="str">
        <f>IFERROR(__xludf.DUMMYFUNCTION(" IF(Account!$F13&lt;&gt;"""", SPLIT(Account!$F13, "" ""), """")"),"Vente")</f>
        <v>Vente</v>
      </c>
      <c r="X13" s="54">
        <f>IFERROR(__xludf.DUMMYFUNCTION("""COMPUTED_VALUE"""),26.0)</f>
        <v>26</v>
      </c>
      <c r="Y13" s="54" t="str">
        <f>IFERROR(__xludf.DUMMYFUNCTION("""COMPUTED_VALUE"""),"VANGUARD")</f>
        <v>VANGUARD</v>
      </c>
      <c r="Z13" s="54" t="str">
        <f>IFERROR(__xludf.DUMMYFUNCTION("""COMPUTED_VALUE"""),"S&amp;P500@48,654")</f>
        <v>S&amp;P500@48,654</v>
      </c>
      <c r="AA13" s="54" t="str">
        <f>IFERROR(__xludf.DUMMYFUNCTION("""COMPUTED_VALUE"""),"EUR")</f>
        <v>EUR</v>
      </c>
      <c r="AB13" s="54" t="str">
        <f>IFERROR(__xludf.DUMMYFUNCTION("""COMPUTED_VALUE"""),"(IE00B3XXRP09)")</f>
        <v>(IE00B3XXRP09)</v>
      </c>
      <c r="AC13" s="54"/>
      <c r="AD13" s="54"/>
      <c r="AE13" s="54"/>
      <c r="AF13" s="54"/>
      <c r="AG13" s="54"/>
      <c r="AH13" s="54"/>
      <c r="AI13" s="54"/>
      <c r="AJ13" s="54"/>
      <c r="AK13" s="54"/>
    </row>
    <row r="14">
      <c r="A14" s="10" t="s">
        <v>149</v>
      </c>
      <c r="B14" s="10" t="s">
        <v>150</v>
      </c>
      <c r="C14" s="10" t="s">
        <v>149</v>
      </c>
      <c r="D14" s="10" t="s">
        <v>140</v>
      </c>
      <c r="E14" s="10" t="s">
        <v>141</v>
      </c>
      <c r="F14" s="12" t="s">
        <v>151</v>
      </c>
      <c r="G14" s="10"/>
      <c r="H14" s="10" t="s">
        <v>70</v>
      </c>
      <c r="I14" s="10" t="s">
        <v>152</v>
      </c>
      <c r="J14" s="10" t="s">
        <v>70</v>
      </c>
      <c r="K14" s="10" t="s">
        <v>153</v>
      </c>
      <c r="L14" s="12" t="s">
        <v>154</v>
      </c>
      <c r="M14" s="29">
        <f t="shared" si="1"/>
        <v>-29</v>
      </c>
      <c r="N14" s="31">
        <f>IFERROR(__xludf.DUMMYFUNCTION("IF(Account!$F14&lt;&gt;"""", VALUE(REGEXREPLACE($I14, ""\,"", ""."")), """")"),1408.3)</f>
        <v>1408.3</v>
      </c>
      <c r="O14" s="33">
        <f>IF(Account!$F14&lt;&gt;"", DATEVALUE(MID($A14,4,3) &amp; LEFT($A14,3) &amp; RIGHT($A14,4)) + TIMEVALUE($B14), "")</f>
        <v>43626.45139</v>
      </c>
      <c r="P14" s="34">
        <f>IF(Account!$F14&lt;&gt;"", DATEVALUE(MID($C14,4,3) &amp; LEFT($C14,3) &amp; RIGHT($C14,4)), "")</f>
        <v>43626</v>
      </c>
      <c r="Q14" s="35" t="str">
        <f t="array" ref="Q14">IF($R14&lt;&gt;"",IFERROR(INDEX(Investment!$A:$A,MATCH($R14,Investment!$H:$H,0))),)</f>
        <v>Stocks</v>
      </c>
      <c r="R14" s="36" t="str">
        <f t="array" ref="R14">IF(AND($Y14="change",$H14="EUR"),IF(AND($AA14="Crédit",$O14=$O15),$R15,IF(AND($AA14="Débit",$O14=$O13),$R13)),IF(OR(AND(OR($E14&lt;&gt;"",$M14=""),$N14&lt;&gt;0),$A14=""),IFERROR(INDEX(Investment!$H:$H,MATCH($E14,Investment!$F:$F,0))),IFERROR(INDEX($R15:$R1119,MATCH(SUBSTITUTE($I14,"-","",1),$K15:$K1119,0)),INDEX($R15:$R1119,MATCH($K14,$K15:$K1119,0)))))</f>
        <v>Vanguard S&amp;P 500 UCITS</v>
      </c>
      <c r="S14" s="35" t="str">
        <f t="shared" si="2"/>
        <v>SELL</v>
      </c>
      <c r="T14" s="37">
        <f t="shared" si="3"/>
        <v>-29</v>
      </c>
      <c r="U14" s="38">
        <f t="shared" si="4"/>
        <v>48.56206897</v>
      </c>
      <c r="V14" s="31">
        <f t="shared" si="5"/>
        <v>1408.3</v>
      </c>
      <c r="W14" s="39" t="str">
        <f>IFERROR(__xludf.DUMMYFUNCTION(" IF(Account!$F14&lt;&gt;"""", SPLIT(Account!$F14, "" ""), """")"),"Vente")</f>
        <v>Vente</v>
      </c>
      <c r="X14" s="54">
        <f>IFERROR(__xludf.DUMMYFUNCTION("""COMPUTED_VALUE"""),29.0)</f>
        <v>29</v>
      </c>
      <c r="Y14" s="54" t="str">
        <f>IFERROR(__xludf.DUMMYFUNCTION("""COMPUTED_VALUE"""),"VANGUARD")</f>
        <v>VANGUARD</v>
      </c>
      <c r="Z14" s="54" t="str">
        <f>IFERROR(__xludf.DUMMYFUNCTION("""COMPUTED_VALUE"""),"S&amp;P500@48,562")</f>
        <v>S&amp;P500@48,562</v>
      </c>
      <c r="AA14" s="54" t="str">
        <f>IFERROR(__xludf.DUMMYFUNCTION("""COMPUTED_VALUE"""),"EUR")</f>
        <v>EUR</v>
      </c>
      <c r="AB14" s="54" t="str">
        <f>IFERROR(__xludf.DUMMYFUNCTION("""COMPUTED_VALUE"""),"(IE00B3XXRP09)")</f>
        <v>(IE00B3XXRP09)</v>
      </c>
      <c r="AC14" s="54"/>
      <c r="AD14" s="54"/>
      <c r="AE14" s="54"/>
      <c r="AF14" s="54"/>
      <c r="AG14" s="54"/>
      <c r="AH14" s="54"/>
      <c r="AI14" s="54"/>
      <c r="AJ14" s="54"/>
      <c r="AK14" s="54"/>
    </row>
    <row r="15">
      <c r="A15" s="10" t="s">
        <v>163</v>
      </c>
      <c r="B15" s="10" t="s">
        <v>164</v>
      </c>
      <c r="C15" s="10" t="s">
        <v>163</v>
      </c>
      <c r="D15" s="10" t="s">
        <v>140</v>
      </c>
      <c r="E15" s="10" t="s">
        <v>141</v>
      </c>
      <c r="F15" s="12" t="s">
        <v>165</v>
      </c>
      <c r="G15" s="10"/>
      <c r="H15" s="10" t="s">
        <v>70</v>
      </c>
      <c r="I15" s="10" t="s">
        <v>166</v>
      </c>
      <c r="J15" s="10" t="s">
        <v>70</v>
      </c>
      <c r="K15" s="10" t="s">
        <v>167</v>
      </c>
      <c r="L15" s="12" t="s">
        <v>168</v>
      </c>
      <c r="M15" s="29">
        <f t="shared" si="1"/>
        <v>-23</v>
      </c>
      <c r="N15" s="31">
        <f>IFERROR(__xludf.DUMMYFUNCTION("IF(Account!$F15&lt;&gt;"""", VALUE(REGEXREPLACE($I15, ""\,"", ""."")), """")"),1112.26)</f>
        <v>1112.26</v>
      </c>
      <c r="O15" s="33">
        <f>IF(Account!$F15&lt;&gt;"", DATEVALUE(MID($A15,4,3) &amp; LEFT($A15,3) &amp; RIGHT($A15,4)) + TIMEVALUE($B15), "")</f>
        <v>43623.70556</v>
      </c>
      <c r="P15" s="34">
        <f>IF(Account!$F15&lt;&gt;"", DATEVALUE(MID($C15,4,3) &amp; LEFT($C15,3) &amp; RIGHT($C15,4)), "")</f>
        <v>43623</v>
      </c>
      <c r="Q15" s="35" t="str">
        <f t="array" ref="Q15">IF($R15&lt;&gt;"",IFERROR(INDEX(Investment!$A:$A,MATCH($R15,Investment!$H:$H,0))),)</f>
        <v>Stocks</v>
      </c>
      <c r="R15" s="36" t="str">
        <f t="array" ref="R15">IF(AND($Y15="change",$H15="EUR"),IF(AND($AA15="Crédit",$O15=$O16),$R16,IF(AND($AA15="Débit",$O15=$O14),$R14)),IF(OR(AND(OR($E15&lt;&gt;"",$M15=""),$N15&lt;&gt;0),$A15=""),IFERROR(INDEX(Investment!$H:$H,MATCH($E15,Investment!$F:$F,0))),IFERROR(INDEX($R16:$R1119,MATCH(SUBSTITUTE($I15,"-","",1),$K16:$K1119,0)),INDEX($R16:$R1119,MATCH($K15,$K16:$K1119,0)))))</f>
        <v>Vanguard S&amp;P 500 UCITS</v>
      </c>
      <c r="S15" s="35" t="str">
        <f t="shared" si="2"/>
        <v>SELL</v>
      </c>
      <c r="T15" s="37">
        <f t="shared" si="3"/>
        <v>-23</v>
      </c>
      <c r="U15" s="38">
        <f t="shared" si="4"/>
        <v>48.35913043</v>
      </c>
      <c r="V15" s="31">
        <f t="shared" si="5"/>
        <v>1112.26</v>
      </c>
      <c r="W15" s="39" t="str">
        <f>IFERROR(__xludf.DUMMYFUNCTION(" IF(Account!$F15&lt;&gt;"""", SPLIT(Account!$F15, "" ""), """")"),"Vente")</f>
        <v>Vente</v>
      </c>
      <c r="X15" s="54">
        <f>IFERROR(__xludf.DUMMYFUNCTION("""COMPUTED_VALUE"""),23.0)</f>
        <v>23</v>
      </c>
      <c r="Y15" s="54" t="str">
        <f>IFERROR(__xludf.DUMMYFUNCTION("""COMPUTED_VALUE"""),"VANGUARD")</f>
        <v>VANGUARD</v>
      </c>
      <c r="Z15" s="54" t="str">
        <f>IFERROR(__xludf.DUMMYFUNCTION("""COMPUTED_VALUE"""),"S&amp;P500@48,359")</f>
        <v>S&amp;P500@48,359</v>
      </c>
      <c r="AA15" s="54" t="str">
        <f>IFERROR(__xludf.DUMMYFUNCTION("""COMPUTED_VALUE"""),"EUR")</f>
        <v>EUR</v>
      </c>
      <c r="AB15" s="54" t="str">
        <f>IFERROR(__xludf.DUMMYFUNCTION("""COMPUTED_VALUE"""),"(IE00B3XXRP09)")</f>
        <v>(IE00B3XXRP09)</v>
      </c>
      <c r="AC15" s="54"/>
      <c r="AD15" s="54"/>
      <c r="AE15" s="54"/>
      <c r="AF15" s="54"/>
      <c r="AG15" s="54"/>
      <c r="AH15" s="54"/>
      <c r="AI15" s="54"/>
      <c r="AJ15" s="54"/>
      <c r="AK15" s="54"/>
    </row>
    <row r="16">
      <c r="A16" s="10" t="s">
        <v>175</v>
      </c>
      <c r="B16" s="10" t="s">
        <v>176</v>
      </c>
      <c r="C16" s="10" t="s">
        <v>175</v>
      </c>
      <c r="D16" s="10" t="s">
        <v>140</v>
      </c>
      <c r="E16" s="10" t="s">
        <v>141</v>
      </c>
      <c r="F16" s="12" t="s">
        <v>177</v>
      </c>
      <c r="G16" s="10"/>
      <c r="H16" s="10" t="s">
        <v>70</v>
      </c>
      <c r="I16" s="10" t="s">
        <v>178</v>
      </c>
      <c r="J16" s="10" t="s">
        <v>70</v>
      </c>
      <c r="K16" s="10" t="s">
        <v>180</v>
      </c>
      <c r="L16" s="12" t="s">
        <v>181</v>
      </c>
      <c r="M16" s="29">
        <f t="shared" si="1"/>
        <v>-58</v>
      </c>
      <c r="N16" s="31">
        <f>IFERROR(__xludf.DUMMYFUNCTION("IF(Account!$F16&lt;&gt;"""", VALUE(REGEXREPLACE($I16, ""\,"", ""."")), """")"),2785.16)</f>
        <v>2785.16</v>
      </c>
      <c r="O16" s="33">
        <f>IF(Account!$F16&lt;&gt;"", DATEVALUE(MID($A16,4,3) &amp; LEFT($A16,3) &amp; RIGHT($A16,4)) + TIMEVALUE($B16), "")</f>
        <v>43622.41806</v>
      </c>
      <c r="P16" s="34">
        <f>IF(Account!$F16&lt;&gt;"", DATEVALUE(MID($C16,4,3) &amp; LEFT($C16,3) &amp; RIGHT($C16,4)), "")</f>
        <v>43622</v>
      </c>
      <c r="Q16" s="35" t="str">
        <f t="array" ref="Q16">IF($R16&lt;&gt;"",IFERROR(INDEX(Investment!$A:$A,MATCH($R16,Investment!$H:$H,0))),)</f>
        <v>Stocks</v>
      </c>
      <c r="R16" s="36" t="str">
        <f t="array" ref="R16">IF(AND($Y16="change",$H16="EUR"),IF(AND($AA16="Crédit",$O16=$O17),$R17,IF(AND($AA16="Débit",$O16=$O15),$R15)),IF(OR(AND(OR($E16&lt;&gt;"",$M16=""),$N16&lt;&gt;0),$A16=""),IFERROR(INDEX(Investment!$H:$H,MATCH($E16,Investment!$F:$F,0))),IFERROR(INDEX($R17:$R1119,MATCH(SUBSTITUTE($I16,"-","",1),$K17:$K1119,0)),INDEX($R17:$R1119,MATCH($K16,$K17:$K1119,0)))))</f>
        <v>Vanguard S&amp;P 500 UCITS</v>
      </c>
      <c r="S16" s="35" t="str">
        <f t="shared" si="2"/>
        <v>SELL</v>
      </c>
      <c r="T16" s="37">
        <f t="shared" si="3"/>
        <v>-58</v>
      </c>
      <c r="U16" s="38">
        <f t="shared" si="4"/>
        <v>48.02</v>
      </c>
      <c r="V16" s="31">
        <f t="shared" si="5"/>
        <v>2785.16</v>
      </c>
      <c r="W16" s="39" t="str">
        <f>IFERROR(__xludf.DUMMYFUNCTION(" IF(Account!$F16&lt;&gt;"""", SPLIT(Account!$F16, "" ""), """")"),"Vente")</f>
        <v>Vente</v>
      </c>
      <c r="X16" s="54">
        <f>IFERROR(__xludf.DUMMYFUNCTION("""COMPUTED_VALUE"""),58.0)</f>
        <v>58</v>
      </c>
      <c r="Y16" s="54" t="str">
        <f>IFERROR(__xludf.DUMMYFUNCTION("""COMPUTED_VALUE"""),"VANGUARD")</f>
        <v>VANGUARD</v>
      </c>
      <c r="Z16" s="54" t="str">
        <f>IFERROR(__xludf.DUMMYFUNCTION("""COMPUTED_VALUE"""),"S&amp;P500@48,02")</f>
        <v>S&amp;P500@48,02</v>
      </c>
      <c r="AA16" s="54" t="str">
        <f>IFERROR(__xludf.DUMMYFUNCTION("""COMPUTED_VALUE"""),"EUR")</f>
        <v>EUR</v>
      </c>
      <c r="AB16" s="54" t="str">
        <f>IFERROR(__xludf.DUMMYFUNCTION("""COMPUTED_VALUE"""),"(IE00B3XXRP09)")</f>
        <v>(IE00B3XXRP09)</v>
      </c>
      <c r="AC16" s="54"/>
      <c r="AD16" s="54"/>
      <c r="AE16" s="54"/>
      <c r="AF16" s="54"/>
      <c r="AG16" s="54"/>
      <c r="AH16" s="54"/>
      <c r="AI16" s="54"/>
      <c r="AJ16" s="54"/>
      <c r="AK16" s="54"/>
    </row>
    <row r="17">
      <c r="A17" s="10" t="s">
        <v>186</v>
      </c>
      <c r="B17" s="10" t="s">
        <v>187</v>
      </c>
      <c r="C17" s="10" t="s">
        <v>186</v>
      </c>
      <c r="D17" s="10"/>
      <c r="E17" s="10"/>
      <c r="F17" s="12" t="s">
        <v>188</v>
      </c>
      <c r="G17" s="10"/>
      <c r="H17" s="10" t="s">
        <v>70</v>
      </c>
      <c r="I17" s="10" t="s">
        <v>189</v>
      </c>
      <c r="J17" s="10" t="s">
        <v>70</v>
      </c>
      <c r="K17" s="10" t="s">
        <v>190</v>
      </c>
      <c r="L17" s="12"/>
      <c r="M17" s="29" t="str">
        <f t="shared" si="1"/>
        <v/>
      </c>
      <c r="N17" s="31">
        <f>IFERROR(__xludf.DUMMYFUNCTION("IF(Account!$F17&lt;&gt;"""", VALUE(REGEXREPLACE($I17, ""\,"", ""."")), """")"),-100.0)</f>
        <v>-100</v>
      </c>
      <c r="O17" s="33">
        <f>IF(Account!$F17&lt;&gt;"", DATEVALUE(MID($A17,4,3) &amp; LEFT($A17,3) &amp; RIGHT($A17,4)) + TIMEVALUE($B17), "")</f>
        <v>43620.76458</v>
      </c>
      <c r="P17" s="34">
        <f>IF(Account!$F17&lt;&gt;"", DATEVALUE(MID($C17,4,3) &amp; LEFT($C17,3) &amp; RIGHT($C17,4)), "")</f>
        <v>43620</v>
      </c>
      <c r="Q17" s="35" t="str">
        <f t="array" ref="Q17">IF($R17&lt;&gt;"",IFERROR(INDEX(Investment!$A:$A,MATCH($R17,Investment!$H:$H,0))),)</f>
        <v/>
      </c>
      <c r="R17" s="36" t="str">
        <f t="array" ref="R17">IF(AND($Y17="change",$H17="EUR"),IF(AND($AA17="Crédit",$O17=$O18),$R18,IF(AND($AA17="Débit",$O17=$O16),$R16)),IF(OR(AND(OR($E17&lt;&gt;"",$M17=""),$N17&lt;&gt;0),$A17=""),IFERROR(INDEX(Investment!$H:$H,MATCH($E17,Investment!$F:$F,0))),IFERROR(INDEX($R18:$R1119,MATCH(SUBSTITUTE($I17,"-","",1),$K18:$K1119,0)),INDEX($R18:$R1119,MATCH($K17,$K18:$K1119,0)))))</f>
        <v/>
      </c>
      <c r="S17" s="35" t="str">
        <f t="shared" si="2"/>
        <v>APPROVISIONNEMENT</v>
      </c>
      <c r="T17" s="37" t="str">
        <f t="shared" si="3"/>
        <v/>
      </c>
      <c r="U17" s="38" t="str">
        <f t="shared" si="4"/>
        <v/>
      </c>
      <c r="V17" s="31">
        <f t="shared" si="5"/>
        <v>-100</v>
      </c>
      <c r="W17" s="39" t="str">
        <f>IFERROR(__xludf.DUMMYFUNCTION(" IF(Account!$F17&lt;&gt;"""", SPLIT(Account!$F17, "" ""), """")"),"Retrait")</f>
        <v>Retrait</v>
      </c>
      <c r="X17" s="54" t="str">
        <f>IFERROR(__xludf.DUMMYFUNCTION("""COMPUTED_VALUE"""),"de")</f>
        <v>de</v>
      </c>
      <c r="Y17" s="54" t="str">
        <f>IFERROR(__xludf.DUMMYFUNCTION("""COMPUTED_VALUE"""),"fonds")</f>
        <v>fonds</v>
      </c>
      <c r="Z17" s="54"/>
      <c r="AA17" s="54"/>
      <c r="AB17" s="54"/>
      <c r="AC17" s="54"/>
      <c r="AD17" s="54"/>
      <c r="AE17" s="54"/>
      <c r="AF17" s="54"/>
      <c r="AG17" s="54"/>
      <c r="AH17" s="54"/>
      <c r="AI17" s="54"/>
      <c r="AJ17" s="54"/>
      <c r="AK17" s="54"/>
    </row>
    <row r="18">
      <c r="A18" s="10" t="s">
        <v>186</v>
      </c>
      <c r="B18" s="10" t="s">
        <v>193</v>
      </c>
      <c r="C18" s="10" t="s">
        <v>194</v>
      </c>
      <c r="D18" s="10"/>
      <c r="E18" s="10"/>
      <c r="F18" s="12" t="s">
        <v>195</v>
      </c>
      <c r="G18" s="10"/>
      <c r="H18" s="10" t="s">
        <v>70</v>
      </c>
      <c r="I18" s="10" t="s">
        <v>196</v>
      </c>
      <c r="J18" s="10" t="s">
        <v>70</v>
      </c>
      <c r="K18" s="10" t="s">
        <v>197</v>
      </c>
      <c r="L18" s="12"/>
      <c r="M18" s="29" t="str">
        <f t="shared" si="1"/>
        <v/>
      </c>
      <c r="N18" s="31">
        <f>IFERROR(__xludf.DUMMYFUNCTION("IF(Account!$F18&lt;&gt;"""", VALUE(REGEXREPLACE($I18, ""\,"", ""."")), """")"),-569.48)</f>
        <v>-569.48</v>
      </c>
      <c r="O18" s="33">
        <f>IF(Account!$F18&lt;&gt;"", DATEVALUE(MID($A18,4,3) &amp; LEFT($A18,3) &amp; RIGHT($A18,4)) + TIMEVALUE($B18), "")</f>
        <v>43620.61806</v>
      </c>
      <c r="P18" s="34">
        <f>IF(Account!$F18&lt;&gt;"", DATEVALUE(MID($C18,4,3) &amp; LEFT($C18,3) &amp; RIGHT($C18,4)), "")</f>
        <v>43616</v>
      </c>
      <c r="Q18" s="35" t="str">
        <f t="array" ref="Q18">IF($R18&lt;&gt;"",IFERROR(INDEX(Investment!$A:$A,MATCH($R18,Investment!$H:$H,0))),)</f>
        <v/>
      </c>
      <c r="R18" s="36" t="str">
        <f t="array" ref="R18">IF(AND($Y18="change",$H18="EUR"),IF(AND($AA18="Crédit",$O18=$O19),$R19,IF(AND($AA18="Débit",$O18=$O17),$R17)),IF(OR(AND(OR($E18&lt;&gt;"",$M18=""),$N18&lt;&gt;0),$A18=""),IFERROR(INDEX(Investment!$H:$H,MATCH($E18,Investment!$F:$F,0))),IFERROR(INDEX($R19:$R1119,MATCH(SUBSTITUTE($I18,"-","",1),$K19:$K1119,0)),INDEX($R19:$R1119,MATCH($K18,$K19:$K1119,0)))))</f>
        <v/>
      </c>
      <c r="S18" s="35" t="str">
        <f t="shared" si="2"/>
        <v>COST</v>
      </c>
      <c r="T18" s="37" t="str">
        <f t="shared" si="3"/>
        <v/>
      </c>
      <c r="U18" s="38" t="str">
        <f t="shared" si="4"/>
        <v/>
      </c>
      <c r="V18" s="31">
        <f t="shared" si="5"/>
        <v>-569.48</v>
      </c>
      <c r="W18" s="39" t="str">
        <f>IFERROR(__xludf.DUMMYFUNCTION(" IF(Account!$F18&lt;&gt;"""", SPLIT(Account!$F18, "" ""), """")"),"Intérêts")</f>
        <v>Intérêts</v>
      </c>
      <c r="X18" s="54" t="str">
        <f>IFERROR(__xludf.DUMMYFUNCTION("""COMPUTED_VALUE"""),"débiteurs")</f>
        <v>débiteurs</v>
      </c>
      <c r="Y18" s="54" t="str">
        <f>IFERROR(__xludf.DUMMYFUNCTION("""COMPUTED_VALUE"""),"mensuels")</f>
        <v>mensuels</v>
      </c>
      <c r="Z18" s="54" t="str">
        <f>IFERROR(__xludf.DUMMYFUNCTION("""COMPUTED_VALUE"""),"(Débit")</f>
        <v>(Débit</v>
      </c>
      <c r="AA18" s="54" t="str">
        <f>IFERROR(__xludf.DUMMYFUNCTION("""COMPUTED_VALUE"""),"Argent)")</f>
        <v>Argent)</v>
      </c>
      <c r="AB18" s="54"/>
      <c r="AC18" s="54"/>
      <c r="AD18" s="54"/>
      <c r="AE18" s="54"/>
      <c r="AF18" s="54"/>
      <c r="AG18" s="54"/>
      <c r="AH18" s="54"/>
      <c r="AI18" s="54"/>
      <c r="AJ18" s="54"/>
      <c r="AK18" s="54"/>
    </row>
    <row r="19">
      <c r="A19" s="10" t="s">
        <v>186</v>
      </c>
      <c r="B19" s="10" t="s">
        <v>202</v>
      </c>
      <c r="C19" s="10" t="s">
        <v>186</v>
      </c>
      <c r="D19" s="10" t="s">
        <v>89</v>
      </c>
      <c r="E19" s="10" t="s">
        <v>90</v>
      </c>
      <c r="F19" s="12" t="s">
        <v>203</v>
      </c>
      <c r="G19" s="10"/>
      <c r="H19" s="10" t="s">
        <v>70</v>
      </c>
      <c r="I19" s="10" t="s">
        <v>204</v>
      </c>
      <c r="J19" s="10" t="s">
        <v>70</v>
      </c>
      <c r="K19" s="10" t="s">
        <v>205</v>
      </c>
      <c r="L19" s="12" t="s">
        <v>206</v>
      </c>
      <c r="M19" s="29">
        <f t="shared" si="1"/>
        <v>-9</v>
      </c>
      <c r="N19" s="31">
        <f>IFERROR(__xludf.DUMMYFUNCTION("IF(Account!$F19&lt;&gt;"""", VALUE(REGEXREPLACE($I19, ""\,"", ""."")), """")"),1011.6)</f>
        <v>1011.6</v>
      </c>
      <c r="O19" s="33">
        <f>IF(Account!$F19&lt;&gt;"", DATEVALUE(MID($A19,4,3) &amp; LEFT($A19,3) &amp; RIGHT($A19,4)) + TIMEVALUE($B19), "")</f>
        <v>43620.39722</v>
      </c>
      <c r="P19" s="34">
        <f>IF(Account!$F19&lt;&gt;"", DATEVALUE(MID($C19,4,3) &amp; LEFT($C19,3) &amp; RIGHT($C19,4)), "")</f>
        <v>43620</v>
      </c>
      <c r="Q19" s="35" t="str">
        <f t="array" ref="Q19">IF($R19&lt;&gt;"",IFERROR(INDEX(Investment!$A:$A,MATCH($R19,Investment!$H:$H,0))),)</f>
        <v>Gold</v>
      </c>
      <c r="R19" s="36" t="str">
        <f t="array" ref="R19">IF(AND($Y19="change",$H19="EUR"),IF(AND($AA19="Crédit",$O19=$O20),$R20,IF(AND($AA19="Débit",$O19=$O18),$R18)),IF(OR(AND(OR($E19&lt;&gt;"",$M19=""),$N19&lt;&gt;0),$A19=""),IFERROR(INDEX(Investment!$H:$H,MATCH($E19,Investment!$F:$F,0))),IFERROR(INDEX($R20:$R1119,MATCH(SUBSTITUTE($I19,"-","",1),$K20:$K1119,0)),INDEX($R20:$R1119,MATCH($K19,$K20:$K1119,0)))))</f>
        <v>ETFS Physical Gold</v>
      </c>
      <c r="S19" s="35" t="str">
        <f t="shared" si="2"/>
        <v>SELL</v>
      </c>
      <c r="T19" s="37">
        <f t="shared" si="3"/>
        <v>-9</v>
      </c>
      <c r="U19" s="38">
        <f t="shared" si="4"/>
        <v>112.4</v>
      </c>
      <c r="V19" s="31">
        <f t="shared" si="5"/>
        <v>1011.6</v>
      </c>
      <c r="W19" s="39" t="str">
        <f>IFERROR(__xludf.DUMMYFUNCTION(" IF(Account!$F19&lt;&gt;"""", SPLIT(Account!$F19, "" ""), """")"),"Vente")</f>
        <v>Vente</v>
      </c>
      <c r="X19" s="54">
        <f>IFERROR(__xludf.DUMMYFUNCTION("""COMPUTED_VALUE"""),9.0)</f>
        <v>9</v>
      </c>
      <c r="Y19" s="54" t="str">
        <f>IFERROR(__xludf.DUMMYFUNCTION("""COMPUTED_VALUE"""),"ETFS")</f>
        <v>ETFS</v>
      </c>
      <c r="Z19" s="54" t="str">
        <f>IFERROR(__xludf.DUMMYFUNCTION("""COMPUTED_VALUE"""),"PHYSICALGOLD@112,4")</f>
        <v>PHYSICALGOLD@112,4</v>
      </c>
      <c r="AA19" s="54" t="str">
        <f>IFERROR(__xludf.DUMMYFUNCTION("""COMPUTED_VALUE"""),"EUR")</f>
        <v>EUR</v>
      </c>
      <c r="AB19" s="54" t="str">
        <f>IFERROR(__xludf.DUMMYFUNCTION("""COMPUTED_VALUE"""),"(JE00B1VS3770)")</f>
        <v>(JE00B1VS3770)</v>
      </c>
      <c r="AC19" s="54"/>
      <c r="AD19" s="54"/>
      <c r="AE19" s="54"/>
      <c r="AF19" s="54"/>
      <c r="AG19" s="54"/>
      <c r="AH19" s="54"/>
      <c r="AI19" s="54"/>
      <c r="AJ19" s="54"/>
      <c r="AK19" s="54"/>
    </row>
    <row r="20">
      <c r="A20" s="10" t="s">
        <v>186</v>
      </c>
      <c r="B20" s="10" t="s">
        <v>209</v>
      </c>
      <c r="C20" s="10" t="s">
        <v>210</v>
      </c>
      <c r="D20" s="10"/>
      <c r="E20" s="10"/>
      <c r="F20" s="12" t="s">
        <v>69</v>
      </c>
      <c r="G20" s="10"/>
      <c r="H20" s="10" t="s">
        <v>70</v>
      </c>
      <c r="I20" s="10" t="s">
        <v>211</v>
      </c>
      <c r="J20" s="10" t="s">
        <v>70</v>
      </c>
      <c r="K20" s="10" t="s">
        <v>212</v>
      </c>
      <c r="L20" s="12"/>
      <c r="M20" s="29">
        <f t="shared" si="1"/>
        <v>0</v>
      </c>
      <c r="N20" s="31">
        <f>IFERROR(__xludf.DUMMYFUNCTION("IF(Account!$F20&lt;&gt;"""", VALUE(REGEXREPLACE($I20, ""\,"", ""."")), """")"),1383.01)</f>
        <v>1383.01</v>
      </c>
      <c r="O20" s="33">
        <f>IF(Account!$F20&lt;&gt;"", DATEVALUE(MID($A20,4,3) &amp; LEFT($A20,3) &amp; RIGHT($A20,4)) + TIMEVALUE($B20), "")</f>
        <v>43620.28403</v>
      </c>
      <c r="P20" s="34">
        <f>IF(Account!$F20&lt;&gt;"", DATEVALUE(MID($C20,4,3) &amp; LEFT($C20,3) &amp; RIGHT($C20,4)), "")</f>
        <v>43619</v>
      </c>
      <c r="Q20" s="35" t="str">
        <f t="array" ref="Q20">IF($R20&lt;&gt;"",IFERROR(INDEX(Investment!$A:$A,MATCH($R20,Investment!$H:$H,0))),)</f>
        <v>Intermediate US bonds (7-10 year)</v>
      </c>
      <c r="R20" s="36" t="str">
        <f t="array" ref="R20">IF(AND($Y20="change",$H20="EUR"),IF(AND($AA20="Crédit",$O20=$O21),$R21,IF(AND($AA20="Débit",$O20=$O19),$R19)),IF(OR(AND(OR($E20&lt;&gt;"",$M20=""),$N20&lt;&gt;0),$A20=""),IFERROR(INDEX(Investment!$H:$H,MATCH($E20,Investment!$F:$F,0))),IFERROR(INDEX($R21:$R1119,MATCH(SUBSTITUTE($I20,"-","",1),$K21:$K1119,0)),INDEX($R21:$R1119,MATCH($K20,$K21:$K1119,0)))))</f>
        <v>iShares Treasury Bond 7-10 UCITS</v>
      </c>
      <c r="S20" s="35" t="str">
        <f t="shared" si="2"/>
        <v>DIVIDEND</v>
      </c>
      <c r="T20" s="37" t="str">
        <f t="shared" si="3"/>
        <v/>
      </c>
      <c r="U20" s="38" t="str">
        <f t="shared" si="4"/>
        <v/>
      </c>
      <c r="V20" s="31">
        <f t="shared" si="5"/>
        <v>-173.19</v>
      </c>
      <c r="W20" s="39" t="str">
        <f>IFERROR(__xludf.DUMMYFUNCTION(" IF(Account!$F20&lt;&gt;"""", SPLIT(Account!$F20, "" ""), """")"),"Operation")</f>
        <v>Operation</v>
      </c>
      <c r="X20" s="54" t="str">
        <f>IFERROR(__xludf.DUMMYFUNCTION("""COMPUTED_VALUE"""),"de")</f>
        <v>de</v>
      </c>
      <c r="Y20" s="54" t="str">
        <f>IFERROR(__xludf.DUMMYFUNCTION("""COMPUTED_VALUE"""),"change")</f>
        <v>change</v>
      </c>
      <c r="Z20" s="54" t="str">
        <f>IFERROR(__xludf.DUMMYFUNCTION("""COMPUTED_VALUE"""),"-")</f>
        <v>-</v>
      </c>
      <c r="AA20" s="54" t="str">
        <f>IFERROR(__xludf.DUMMYFUNCTION("""COMPUTED_VALUE"""),"Crédit")</f>
        <v>Crédit</v>
      </c>
      <c r="AB20" s="54"/>
      <c r="AC20" s="54"/>
      <c r="AD20" s="54"/>
      <c r="AE20" s="54"/>
      <c r="AF20" s="54"/>
      <c r="AG20" s="54"/>
      <c r="AH20" s="54"/>
      <c r="AI20" s="54"/>
      <c r="AJ20" s="54"/>
      <c r="AK20" s="54"/>
    </row>
    <row r="21">
      <c r="A21" s="10" t="s">
        <v>186</v>
      </c>
      <c r="B21" s="10" t="s">
        <v>209</v>
      </c>
      <c r="C21" s="10" t="s">
        <v>210</v>
      </c>
      <c r="D21" s="10"/>
      <c r="E21" s="10"/>
      <c r="F21" s="12" t="s">
        <v>73</v>
      </c>
      <c r="G21" s="10" t="s">
        <v>214</v>
      </c>
      <c r="H21" s="10" t="s">
        <v>74</v>
      </c>
      <c r="I21" s="10" t="s">
        <v>215</v>
      </c>
      <c r="J21" s="10" t="s">
        <v>74</v>
      </c>
      <c r="K21" s="10" t="s">
        <v>76</v>
      </c>
      <c r="L21" s="12"/>
      <c r="M21" s="29">
        <f t="shared" si="1"/>
        <v>0</v>
      </c>
      <c r="N21" s="31">
        <f>IFERROR(__xludf.DUMMYFUNCTION("IF(Account!$F21&lt;&gt;"""", VALUE(REGEXREPLACE($I21, ""\,"", ""."")), """")"),-1556.2)</f>
        <v>-1556.2</v>
      </c>
      <c r="O21" s="33">
        <f>IF(Account!$F21&lt;&gt;"", DATEVALUE(MID($A21,4,3) &amp; LEFT($A21,3) &amp; RIGHT($A21,4)) + TIMEVALUE($B21), "")</f>
        <v>43620.28403</v>
      </c>
      <c r="P21" s="34">
        <f>IF(Account!$F21&lt;&gt;"", DATEVALUE(MID($C21,4,3) &amp; LEFT($C21,3) &amp; RIGHT($C21,4)), "")</f>
        <v>43619</v>
      </c>
      <c r="Q21" s="35" t="str">
        <f t="array" ref="Q21">IF($R21&lt;&gt;"",IFERROR(INDEX(Investment!$A:$A,MATCH($R21,Investment!$H:$H,0))),)</f>
        <v>Intermediate US bonds (7-10 year)</v>
      </c>
      <c r="R21" s="36" t="str">
        <f t="array" ref="R21">IF(AND($Y21="change",$H21="EUR"),IF(AND($AA21="Crédit",$O21=$O22),$R22,IF(AND($AA21="Débit",$O21=$O20),$R20)),IF(OR(AND(OR($E21&lt;&gt;"",$M21=""),$N21&lt;&gt;0),$A21=""),IFERROR(INDEX(Investment!$H:$H,MATCH($E21,Investment!$F:$F,0))),IFERROR(INDEX($R22:$R1119,MATCH(SUBSTITUTE($I21,"-","",1),$K22:$K1119,0)),INDEX($R22:$R1119,MATCH($K21,$K22:$K1119,0)))))</f>
        <v>iShares Treasury Bond 7-10 UCITS</v>
      </c>
      <c r="S21" s="35" t="str">
        <f t="shared" si="2"/>
        <v>DIVIDEND</v>
      </c>
      <c r="T21" s="37" t="str">
        <f t="shared" si="3"/>
        <v/>
      </c>
      <c r="U21" s="38" t="str">
        <f t="shared" si="4"/>
        <v/>
      </c>
      <c r="V21" s="31">
        <f t="shared" si="5"/>
        <v>-173.19</v>
      </c>
      <c r="W21" s="39" t="str">
        <f>IFERROR(__xludf.DUMMYFUNCTION(" IF(Account!$F21&lt;&gt;"""", SPLIT(Account!$F21, "" ""), """")"),"Opération")</f>
        <v>Opération</v>
      </c>
      <c r="X21" s="54" t="str">
        <f>IFERROR(__xludf.DUMMYFUNCTION("""COMPUTED_VALUE"""),"de")</f>
        <v>de</v>
      </c>
      <c r="Y21" s="54" t="str">
        <f>IFERROR(__xludf.DUMMYFUNCTION("""COMPUTED_VALUE"""),"change")</f>
        <v>change</v>
      </c>
      <c r="Z21" s="54" t="str">
        <f>IFERROR(__xludf.DUMMYFUNCTION("""COMPUTED_VALUE"""),"-")</f>
        <v>-</v>
      </c>
      <c r="AA21" s="54" t="str">
        <f>IFERROR(__xludf.DUMMYFUNCTION("""COMPUTED_VALUE"""),"Débit")</f>
        <v>Débit</v>
      </c>
      <c r="AB21" s="54"/>
      <c r="AC21" s="54"/>
      <c r="AD21" s="54"/>
      <c r="AE21" s="54"/>
      <c r="AF21" s="54"/>
      <c r="AG21" s="54"/>
      <c r="AH21" s="54"/>
      <c r="AI21" s="54"/>
      <c r="AJ21" s="54"/>
      <c r="AK21" s="54"/>
    </row>
    <row r="22">
      <c r="A22" s="10" t="s">
        <v>210</v>
      </c>
      <c r="B22" s="10" t="s">
        <v>221</v>
      </c>
      <c r="C22" s="10" t="s">
        <v>210</v>
      </c>
      <c r="D22" s="10" t="s">
        <v>83</v>
      </c>
      <c r="E22" s="10" t="s">
        <v>84</v>
      </c>
      <c r="F22" s="12" t="s">
        <v>222</v>
      </c>
      <c r="G22" s="10"/>
      <c r="H22" s="10" t="s">
        <v>70</v>
      </c>
      <c r="I22" s="10" t="s">
        <v>223</v>
      </c>
      <c r="J22" s="10" t="s">
        <v>70</v>
      </c>
      <c r="K22" s="10" t="s">
        <v>224</v>
      </c>
      <c r="L22" s="12" t="s">
        <v>225</v>
      </c>
      <c r="M22" s="29" t="str">
        <f t="shared" si="1"/>
        <v/>
      </c>
      <c r="N22" s="31">
        <f>IFERROR(__xludf.DUMMYFUNCTION("IF(Account!$F22&lt;&gt;"""", VALUE(REGEXREPLACE($I22, ""\,"", ""."")), """")"),-2.0)</f>
        <v>-2</v>
      </c>
      <c r="O22" s="33">
        <f>IF(Account!$F22&lt;&gt;"", DATEVALUE(MID($A22,4,3) &amp; LEFT($A22,3) &amp; RIGHT($A22,4)) + TIMEVALUE($B22), "")</f>
        <v>43619.44097</v>
      </c>
      <c r="P22" s="34">
        <f>IF(Account!$F22&lt;&gt;"", DATEVALUE(MID($C22,4,3) &amp; LEFT($C22,3) &amp; RIGHT($C22,4)), "")</f>
        <v>43619</v>
      </c>
      <c r="Q22" s="35" t="str">
        <f t="array" ref="Q22">IF($R22&lt;&gt;"",IFERROR(INDEX(Investment!$A:$A,MATCH($R22,Investment!$H:$H,0))),)</f>
        <v>Long term US bonds (20-25 year)</v>
      </c>
      <c r="R22" s="36" t="str">
        <f t="array" ref="R22">IF(AND($Y22="change",$H22="EUR"),IF(AND($AA22="Crédit",$O22=$O23),$R23,IF(AND($AA22="Débit",$O22=$O21),$R21)),IF(OR(AND(OR($E22&lt;&gt;"",$M22=""),$N22&lt;&gt;0),$A22=""),IFERROR(INDEX(Investment!$H:$H,MATCH($E22,Investment!$F:$F,0))),IFERROR(INDEX($R23:$R1119,MATCH(SUBSTITUTE($I22,"-","",1),$K23:$K1119,0)),INDEX($R23:$R1119,MATCH($K22,$K23:$K1119,0)))))</f>
        <v>iShares Treasury Bond 20+ UCITS</v>
      </c>
      <c r="S22" s="35" t="str">
        <f t="shared" si="2"/>
        <v>COST</v>
      </c>
      <c r="T22" s="37" t="str">
        <f t="shared" si="3"/>
        <v/>
      </c>
      <c r="U22" s="38" t="str">
        <f t="shared" si="4"/>
        <v/>
      </c>
      <c r="V22" s="31">
        <f t="shared" si="5"/>
        <v>-2.46</v>
      </c>
      <c r="W22" s="39" t="str">
        <f>IFERROR(__xludf.DUMMYFUNCTION(" IF(Account!$F22&lt;&gt;"""", SPLIT(Account!$F22, "" ""), """")"),"Frais")</f>
        <v>Frais</v>
      </c>
      <c r="X22" s="54" t="str">
        <f>IFERROR(__xludf.DUMMYFUNCTION("""COMPUTED_VALUE"""),"de")</f>
        <v>de</v>
      </c>
      <c r="Y22" s="54" t="str">
        <f>IFERROR(__xludf.DUMMYFUNCTION("""COMPUTED_VALUE"""),"courtage")</f>
        <v>courtage</v>
      </c>
      <c r="Z22" s="54"/>
      <c r="AA22" s="54"/>
      <c r="AB22" s="54"/>
      <c r="AC22" s="54"/>
      <c r="AD22" s="54"/>
      <c r="AE22" s="54"/>
      <c r="AF22" s="54"/>
      <c r="AG22" s="54"/>
      <c r="AH22" s="54"/>
      <c r="AI22" s="54"/>
      <c r="AJ22" s="54"/>
      <c r="AK22" s="54"/>
    </row>
    <row r="23">
      <c r="A23" s="10" t="s">
        <v>210</v>
      </c>
      <c r="B23" s="10" t="s">
        <v>221</v>
      </c>
      <c r="C23" s="10" t="s">
        <v>210</v>
      </c>
      <c r="D23" s="10" t="s">
        <v>83</v>
      </c>
      <c r="E23" s="10" t="s">
        <v>84</v>
      </c>
      <c r="F23" s="12" t="s">
        <v>222</v>
      </c>
      <c r="G23" s="10"/>
      <c r="H23" s="10" t="s">
        <v>70</v>
      </c>
      <c r="I23" s="10" t="s">
        <v>228</v>
      </c>
      <c r="J23" s="10" t="s">
        <v>70</v>
      </c>
      <c r="K23" s="10" t="s">
        <v>229</v>
      </c>
      <c r="L23" s="12" t="s">
        <v>225</v>
      </c>
      <c r="M23" s="29" t="str">
        <f t="shared" si="1"/>
        <v/>
      </c>
      <c r="N23" s="31">
        <f>IFERROR(__xludf.DUMMYFUNCTION("IF(Account!$F23&lt;&gt;"""", VALUE(REGEXREPLACE($I23, ""\,"", ""."")), """")"),-0.46)</f>
        <v>-0.46</v>
      </c>
      <c r="O23" s="33">
        <f>IF(Account!$F23&lt;&gt;"", DATEVALUE(MID($A23,4,3) &amp; LEFT($A23,3) &amp; RIGHT($A23,4)) + TIMEVALUE($B23), "")</f>
        <v>43619.44097</v>
      </c>
      <c r="P23" s="34">
        <f>IF(Account!$F23&lt;&gt;"", DATEVALUE(MID($C23,4,3) &amp; LEFT($C23,3) &amp; RIGHT($C23,4)), "")</f>
        <v>43619</v>
      </c>
      <c r="Q23" s="35" t="str">
        <f t="array" ref="Q23">IF($R23&lt;&gt;"",IFERROR(INDEX(Investment!$A:$A,MATCH($R23,Investment!$H:$H,0))),)</f>
        <v>Long term US bonds (20-25 year)</v>
      </c>
      <c r="R23" s="36" t="str">
        <f t="array" ref="R23">IF(AND($Y23="change",$H23="EUR"),IF(AND($AA23="Crédit",$O23=$O24),$R24,IF(AND($AA23="Débit",$O23=$O22),$R22)),IF(OR(AND(OR($E23&lt;&gt;"",$M23=""),$N23&lt;&gt;0),$A23=""),IFERROR(INDEX(Investment!$H:$H,MATCH($E23,Investment!$F:$F,0))),IFERROR(INDEX($R24:$R1119,MATCH(SUBSTITUTE($I23,"-","",1),$K24:$K1119,0)),INDEX($R24:$R1119,MATCH($K23,$K24:$K1119,0)))))</f>
        <v>iShares Treasury Bond 20+ UCITS</v>
      </c>
      <c r="S23" s="35" t="str">
        <f t="shared" si="2"/>
        <v>COST</v>
      </c>
      <c r="T23" s="37" t="str">
        <f t="shared" si="3"/>
        <v/>
      </c>
      <c r="U23" s="38" t="str">
        <f t="shared" si="4"/>
        <v/>
      </c>
      <c r="V23" s="31">
        <f t="shared" si="5"/>
        <v>-2.46</v>
      </c>
      <c r="W23" s="39" t="str">
        <f>IFERROR(__xludf.DUMMYFUNCTION(" IF(Account!$F23&lt;&gt;"""", SPLIT(Account!$F23, "" ""), """")"),"Frais")</f>
        <v>Frais</v>
      </c>
      <c r="X23" s="54" t="str">
        <f>IFERROR(__xludf.DUMMYFUNCTION("""COMPUTED_VALUE"""),"de")</f>
        <v>de</v>
      </c>
      <c r="Y23" s="54" t="str">
        <f>IFERROR(__xludf.DUMMYFUNCTION("""COMPUTED_VALUE"""),"courtage")</f>
        <v>courtage</v>
      </c>
      <c r="Z23" s="54"/>
      <c r="AA23" s="54"/>
      <c r="AB23" s="54"/>
      <c r="AC23" s="54"/>
      <c r="AD23" s="54"/>
      <c r="AE23" s="54"/>
      <c r="AF23" s="54"/>
      <c r="AG23" s="54"/>
      <c r="AH23" s="54"/>
      <c r="AI23" s="54"/>
      <c r="AJ23" s="54"/>
      <c r="AK23" s="54"/>
    </row>
    <row r="24">
      <c r="A24" s="10" t="s">
        <v>210</v>
      </c>
      <c r="B24" s="10" t="s">
        <v>221</v>
      </c>
      <c r="C24" s="10" t="s">
        <v>210</v>
      </c>
      <c r="D24" s="10" t="s">
        <v>83</v>
      </c>
      <c r="E24" s="10" t="s">
        <v>84</v>
      </c>
      <c r="F24" s="12" t="s">
        <v>233</v>
      </c>
      <c r="G24" s="10"/>
      <c r="H24" s="10" t="s">
        <v>70</v>
      </c>
      <c r="I24" s="10" t="s">
        <v>234</v>
      </c>
      <c r="J24" s="10" t="s">
        <v>70</v>
      </c>
      <c r="K24" s="10" t="s">
        <v>235</v>
      </c>
      <c r="L24" s="12" t="s">
        <v>225</v>
      </c>
      <c r="M24" s="29">
        <f t="shared" si="1"/>
        <v>-512</v>
      </c>
      <c r="N24" s="31">
        <f>IFERROR(__xludf.DUMMYFUNCTION("IF(Account!$F24&lt;&gt;"""", VALUE(REGEXREPLACE($I24, ""\,"", ""."")), """")"),2295.04)</f>
        <v>2295.04</v>
      </c>
      <c r="O24" s="33">
        <f>IF(Account!$F24&lt;&gt;"", DATEVALUE(MID($A24,4,3) &amp; LEFT($A24,3) &amp; RIGHT($A24,4)) + TIMEVALUE($B24), "")</f>
        <v>43619.44097</v>
      </c>
      <c r="P24" s="34">
        <f>IF(Account!$F24&lt;&gt;"", DATEVALUE(MID($C24,4,3) &amp; LEFT($C24,3) &amp; RIGHT($C24,4)), "")</f>
        <v>43619</v>
      </c>
      <c r="Q24" s="35" t="str">
        <f t="array" ref="Q24">IF($R24&lt;&gt;"",IFERROR(INDEX(Investment!$A:$A,MATCH($R24,Investment!$H:$H,0))),)</f>
        <v>Long term US bonds (20-25 year)</v>
      </c>
      <c r="R24" s="36" t="str">
        <f t="array" ref="R24">IF(AND($Y24="change",$H24="EUR"),IF(AND($AA24="Crédit",$O24=$O25),$R25,IF(AND($AA24="Débit",$O24=$O23),$R23)),IF(OR(AND(OR($E24&lt;&gt;"",$M24=""),$N24&lt;&gt;0),$A24=""),IFERROR(INDEX(Investment!$H:$H,MATCH($E24,Investment!$F:$F,0))),IFERROR(INDEX($R25:$R1119,MATCH(SUBSTITUTE($I24,"-","",1),$K25:$K1119,0)),INDEX($R25:$R1119,MATCH($K24,$K25:$K1119,0)))))</f>
        <v>iShares Treasury Bond 20+ UCITS</v>
      </c>
      <c r="S24" s="35" t="str">
        <f t="shared" si="2"/>
        <v>SELL</v>
      </c>
      <c r="T24" s="37">
        <f t="shared" si="3"/>
        <v>-512</v>
      </c>
      <c r="U24" s="38">
        <f t="shared" si="4"/>
        <v>4.4825</v>
      </c>
      <c r="V24" s="31">
        <f t="shared" si="5"/>
        <v>2295.04</v>
      </c>
      <c r="W24" s="39" t="str">
        <f>IFERROR(__xludf.DUMMYFUNCTION(" IF(Account!$F24&lt;&gt;"""", SPLIT(Account!$F24, "" ""), """")"),"Vente")</f>
        <v>Vente</v>
      </c>
      <c r="X24" s="54">
        <f>IFERROR(__xludf.DUMMYFUNCTION("""COMPUTED_VALUE"""),512.0)</f>
        <v>512</v>
      </c>
      <c r="Y24" s="54" t="str">
        <f>IFERROR(__xludf.DUMMYFUNCTION("""COMPUTED_VALUE"""),"ISHSIV-DL")</f>
        <v>ISHSIV-DL</v>
      </c>
      <c r="Z24" s="54" t="str">
        <f>IFERROR(__xludf.DUMMYFUNCTION("""COMPUTED_VALUE"""),"T.BD20+YR")</f>
        <v>T.BD20+YR</v>
      </c>
      <c r="AA24" s="54" t="str">
        <f>IFERROR(__xludf.DUMMYFUNCTION("""COMPUTED_VALUE"""),"DL")</f>
        <v>DL</v>
      </c>
      <c r="AB24" s="54" t="str">
        <f>IFERROR(__xludf.DUMMYFUNCTION("""COMPUTED_VALUE"""),"D@4,4825")</f>
        <v>D@4,4825</v>
      </c>
      <c r="AC24" s="54" t="str">
        <f>IFERROR(__xludf.DUMMYFUNCTION("""COMPUTED_VALUE"""),"EUR")</f>
        <v>EUR</v>
      </c>
      <c r="AD24" s="54" t="str">
        <f>IFERROR(__xludf.DUMMYFUNCTION("""COMPUTED_VALUE"""),"(IE00BSKRJZ44)")</f>
        <v>(IE00BSKRJZ44)</v>
      </c>
      <c r="AE24" s="54"/>
      <c r="AF24" s="54"/>
      <c r="AG24" s="54"/>
      <c r="AH24" s="54"/>
      <c r="AI24" s="54"/>
      <c r="AJ24" s="54"/>
      <c r="AK24" s="54"/>
    </row>
    <row r="25">
      <c r="A25" s="10" t="s">
        <v>210</v>
      </c>
      <c r="B25" s="10" t="s">
        <v>240</v>
      </c>
      <c r="C25" s="10" t="s">
        <v>210</v>
      </c>
      <c r="D25" s="10" t="s">
        <v>241</v>
      </c>
      <c r="E25" s="10" t="s">
        <v>242</v>
      </c>
      <c r="F25" s="12" t="s">
        <v>243</v>
      </c>
      <c r="G25" s="10"/>
      <c r="H25" s="10" t="s">
        <v>70</v>
      </c>
      <c r="I25" s="10" t="s">
        <v>244</v>
      </c>
      <c r="J25" s="10" t="s">
        <v>70</v>
      </c>
      <c r="K25" s="10" t="s">
        <v>245</v>
      </c>
      <c r="L25" s="12" t="s">
        <v>246</v>
      </c>
      <c r="M25" s="29">
        <f t="shared" si="1"/>
        <v>-7</v>
      </c>
      <c r="N25" s="31">
        <f>IFERROR(__xludf.DUMMYFUNCTION("IF(Account!$F25&lt;&gt;"""", VALUE(REGEXREPLACE($I25, ""\,"", ""."")), """")"),1255.94)</f>
        <v>1255.94</v>
      </c>
      <c r="O25" s="33">
        <f>IF(Account!$F25&lt;&gt;"", DATEVALUE(MID($A25,4,3) &amp; LEFT($A25,3) &amp; RIGHT($A25,4)) + TIMEVALUE($B25), "")</f>
        <v>43619.43681</v>
      </c>
      <c r="P25" s="34">
        <f>IF(Account!$F25&lt;&gt;"", DATEVALUE(MID($C25,4,3) &amp; LEFT($C25,3) &amp; RIGHT($C25,4)), "")</f>
        <v>43619</v>
      </c>
      <c r="Q25" s="35" t="str">
        <f t="array" ref="Q25">IF($R25&lt;&gt;"",IFERROR(INDEX(Investment!$A:$A,MATCH($R25,Investment!$H:$H,0))),)</f>
        <v>Intermediate US bonds (7-10 year)</v>
      </c>
      <c r="R25" s="36" t="str">
        <f t="array" ref="R25">IF(AND($Y25="change",$H25="EUR"),IF(AND($AA25="Crédit",$O25=$O26),$R26,IF(AND($AA25="Débit",$O25=$O24),$R24)),IF(OR(AND(OR($E25&lt;&gt;"",$M25=""),$N25&lt;&gt;0),$A25=""),IFERROR(INDEX(Investment!$H:$H,MATCH($E25,Investment!$F:$F,0))),IFERROR(INDEX($R26:$R1119,MATCH(SUBSTITUTE($I25,"-","",1),$K26:$K1119,0)),INDEX($R26:$R1119,MATCH($K25,$K26:$K1119,0)))))</f>
        <v>iShares Treasury Bond 7-10 UCITS</v>
      </c>
      <c r="S25" s="35" t="str">
        <f t="shared" si="2"/>
        <v>SELL</v>
      </c>
      <c r="T25" s="37">
        <f t="shared" si="3"/>
        <v>-7</v>
      </c>
      <c r="U25" s="38">
        <f t="shared" si="4"/>
        <v>179.42</v>
      </c>
      <c r="V25" s="31">
        <f t="shared" si="5"/>
        <v>1255.94</v>
      </c>
      <c r="W25" s="39" t="str">
        <f>IFERROR(__xludf.DUMMYFUNCTION(" IF(Account!$F25&lt;&gt;"""", SPLIT(Account!$F25, "" ""), """")"),"Vente")</f>
        <v>Vente</v>
      </c>
      <c r="X25" s="54">
        <f>IFERROR(__xludf.DUMMYFUNCTION("""COMPUTED_VALUE"""),7.0)</f>
        <v>7</v>
      </c>
      <c r="Y25" s="54" t="str">
        <f>IFERROR(__xludf.DUMMYFUNCTION("""COMPUTED_VALUE"""),"ISHARES")</f>
        <v>ISHARES</v>
      </c>
      <c r="Z25" s="54" t="str">
        <f>IFERROR(__xludf.DUMMYFUNCTION("""COMPUTED_VALUE"""),"US")</f>
        <v>US</v>
      </c>
      <c r="AA25" s="54" t="str">
        <f>IFERROR(__xludf.DUMMYFUNCTION("""COMPUTED_VALUE"""),"T")</f>
        <v>T</v>
      </c>
      <c r="AB25" s="54" t="str">
        <f>IFERROR(__xludf.DUMMYFUNCTION("""COMPUTED_VALUE"""),"7-10@179,42")</f>
        <v>7-10@179,42</v>
      </c>
      <c r="AC25" s="54" t="str">
        <f>IFERROR(__xludf.DUMMYFUNCTION("""COMPUTED_VALUE"""),"EUR")</f>
        <v>EUR</v>
      </c>
      <c r="AD25" s="54" t="str">
        <f>IFERROR(__xludf.DUMMYFUNCTION("""COMPUTED_VALUE"""),"(IE00B1FZS798)")</f>
        <v>(IE00B1FZS798)</v>
      </c>
      <c r="AE25" s="54"/>
      <c r="AF25" s="54"/>
      <c r="AG25" s="54"/>
      <c r="AH25" s="54"/>
      <c r="AI25" s="54"/>
      <c r="AJ25" s="54"/>
      <c r="AK25" s="54"/>
    </row>
    <row r="26">
      <c r="A26" s="10" t="s">
        <v>210</v>
      </c>
      <c r="B26" s="10" t="s">
        <v>249</v>
      </c>
      <c r="C26" s="10" t="s">
        <v>210</v>
      </c>
      <c r="D26" s="10" t="s">
        <v>89</v>
      </c>
      <c r="E26" s="10" t="s">
        <v>90</v>
      </c>
      <c r="F26" s="12" t="s">
        <v>250</v>
      </c>
      <c r="G26" s="10"/>
      <c r="H26" s="10" t="s">
        <v>70</v>
      </c>
      <c r="I26" s="10" t="s">
        <v>251</v>
      </c>
      <c r="J26" s="10" t="s">
        <v>70</v>
      </c>
      <c r="K26" s="10" t="s">
        <v>252</v>
      </c>
      <c r="L26" s="12" t="s">
        <v>253</v>
      </c>
      <c r="M26" s="29">
        <f t="shared" si="1"/>
        <v>-10</v>
      </c>
      <c r="N26" s="31">
        <f>IFERROR(__xludf.DUMMYFUNCTION("IF(Account!$F26&lt;&gt;"""", VALUE(REGEXREPLACE($I26, ""\,"", ""."")), """")"),1122.9)</f>
        <v>1122.9</v>
      </c>
      <c r="O26" s="33">
        <f>IF(Account!$F26&lt;&gt;"", DATEVALUE(MID($A26,4,3) &amp; LEFT($A26,3) &amp; RIGHT($A26,4)) + TIMEVALUE($B26), "")</f>
        <v>43619.425</v>
      </c>
      <c r="P26" s="34">
        <f>IF(Account!$F26&lt;&gt;"", DATEVALUE(MID($C26,4,3) &amp; LEFT($C26,3) &amp; RIGHT($C26,4)), "")</f>
        <v>43619</v>
      </c>
      <c r="Q26" s="35" t="str">
        <f t="array" ref="Q26">IF($R26&lt;&gt;"",IFERROR(INDEX(Investment!$A:$A,MATCH($R26,Investment!$H:$H,0))),)</f>
        <v>Gold</v>
      </c>
      <c r="R26" s="36" t="str">
        <f t="array" ref="R26">IF(AND($Y26="change",$H26="EUR"),IF(AND($AA26="Crédit",$O26=$O27),$R27,IF(AND($AA26="Débit",$O26=$O25),$R25)),IF(OR(AND(OR($E26&lt;&gt;"",$M26=""),$N26&lt;&gt;0),$A26=""),IFERROR(INDEX(Investment!$H:$H,MATCH($E26,Investment!$F:$F,0))),IFERROR(INDEX($R27:$R1119,MATCH(SUBSTITUTE($I26,"-","",1),$K27:$K1119,0)),INDEX($R27:$R1119,MATCH($K26,$K27:$K1119,0)))))</f>
        <v>ETFS Physical Gold</v>
      </c>
      <c r="S26" s="35" t="str">
        <f t="shared" si="2"/>
        <v>SELL</v>
      </c>
      <c r="T26" s="37">
        <f t="shared" si="3"/>
        <v>-10</v>
      </c>
      <c r="U26" s="38">
        <f t="shared" si="4"/>
        <v>112.29</v>
      </c>
      <c r="V26" s="31">
        <f t="shared" si="5"/>
        <v>1122.9</v>
      </c>
      <c r="W26" s="39" t="str">
        <f>IFERROR(__xludf.DUMMYFUNCTION(" IF(Account!$F26&lt;&gt;"""", SPLIT(Account!$F26, "" ""), """")"),"Vente")</f>
        <v>Vente</v>
      </c>
      <c r="X26" s="54">
        <f>IFERROR(__xludf.DUMMYFUNCTION("""COMPUTED_VALUE"""),10.0)</f>
        <v>10</v>
      </c>
      <c r="Y26" s="54" t="str">
        <f>IFERROR(__xludf.DUMMYFUNCTION("""COMPUTED_VALUE"""),"ETFS")</f>
        <v>ETFS</v>
      </c>
      <c r="Z26" s="54" t="str">
        <f>IFERROR(__xludf.DUMMYFUNCTION("""COMPUTED_VALUE"""),"PHYSICALGOLD@112,29")</f>
        <v>PHYSICALGOLD@112,29</v>
      </c>
      <c r="AA26" s="54" t="str">
        <f>IFERROR(__xludf.DUMMYFUNCTION("""COMPUTED_VALUE"""),"EUR")</f>
        <v>EUR</v>
      </c>
      <c r="AB26" s="54" t="str">
        <f>IFERROR(__xludf.DUMMYFUNCTION("""COMPUTED_VALUE"""),"(JE00B1VS3770)")</f>
        <v>(JE00B1VS3770)</v>
      </c>
      <c r="AC26" s="54"/>
      <c r="AD26" s="54"/>
      <c r="AE26" s="54"/>
      <c r="AF26" s="54"/>
      <c r="AG26" s="54"/>
      <c r="AH26" s="54"/>
      <c r="AI26" s="54"/>
      <c r="AJ26" s="54"/>
      <c r="AK26" s="54"/>
    </row>
    <row r="27">
      <c r="A27" s="10" t="s">
        <v>210</v>
      </c>
      <c r="B27" s="10" t="s">
        <v>254</v>
      </c>
      <c r="C27" s="10" t="s">
        <v>210</v>
      </c>
      <c r="D27" s="10" t="s">
        <v>83</v>
      </c>
      <c r="E27" s="10" t="s">
        <v>84</v>
      </c>
      <c r="F27" s="12" t="s">
        <v>222</v>
      </c>
      <c r="G27" s="10"/>
      <c r="H27" s="10" t="s">
        <v>70</v>
      </c>
      <c r="I27" s="10" t="s">
        <v>223</v>
      </c>
      <c r="J27" s="10" t="s">
        <v>70</v>
      </c>
      <c r="K27" s="10" t="s">
        <v>255</v>
      </c>
      <c r="L27" s="12" t="s">
        <v>256</v>
      </c>
      <c r="M27" s="29" t="str">
        <f t="shared" si="1"/>
        <v/>
      </c>
      <c r="N27" s="31">
        <f>IFERROR(__xludf.DUMMYFUNCTION("IF(Account!$F27&lt;&gt;"""", VALUE(REGEXREPLACE($I27, ""\,"", ""."")), """")"),-2.0)</f>
        <v>-2</v>
      </c>
      <c r="O27" s="33">
        <f>IF(Account!$F27&lt;&gt;"", DATEVALUE(MID($A27,4,3) &amp; LEFT($A27,3) &amp; RIGHT($A27,4)) + TIMEVALUE($B27), "")</f>
        <v>43619.39583</v>
      </c>
      <c r="P27" s="34">
        <f>IF(Account!$F27&lt;&gt;"", DATEVALUE(MID($C27,4,3) &amp; LEFT($C27,3) &amp; RIGHT($C27,4)), "")</f>
        <v>43619</v>
      </c>
      <c r="Q27" s="35" t="str">
        <f t="array" ref="Q27">IF($R27&lt;&gt;"",IFERROR(INDEX(Investment!$A:$A,MATCH($R27,Investment!$H:$H,0))),)</f>
        <v>Long term US bonds (20-25 year)</v>
      </c>
      <c r="R27" s="36" t="str">
        <f t="array" ref="R27">IF(AND($Y27="change",$H27="EUR"),IF(AND($AA27="Crédit",$O27=$O28),$R28,IF(AND($AA27="Débit",$O27=$O26),$R26)),IF(OR(AND(OR($E27&lt;&gt;"",$M27=""),$N27&lt;&gt;0),$A27=""),IFERROR(INDEX(Investment!$H:$H,MATCH($E27,Investment!$F:$F,0))),IFERROR(INDEX($R28:$R1119,MATCH(SUBSTITUTE($I27,"-","",1),$K28:$K1119,0)),INDEX($R28:$R1119,MATCH($K27,$K28:$K1119,0)))))</f>
        <v>iShares Treasury Bond 20+ UCITS</v>
      </c>
      <c r="S27" s="35" t="str">
        <f t="shared" si="2"/>
        <v>COST</v>
      </c>
      <c r="T27" s="37" t="str">
        <f t="shared" si="3"/>
        <v/>
      </c>
      <c r="U27" s="38" t="str">
        <f t="shared" si="4"/>
        <v/>
      </c>
      <c r="V27" s="31">
        <f t="shared" si="5"/>
        <v>-2.78</v>
      </c>
      <c r="W27" s="39" t="str">
        <f>IFERROR(__xludf.DUMMYFUNCTION(" IF(Account!$F27&lt;&gt;"""", SPLIT(Account!$F27, "" ""), """")"),"Frais")</f>
        <v>Frais</v>
      </c>
      <c r="X27" s="54" t="str">
        <f>IFERROR(__xludf.DUMMYFUNCTION("""COMPUTED_VALUE"""),"de")</f>
        <v>de</v>
      </c>
      <c r="Y27" s="54" t="str">
        <f>IFERROR(__xludf.DUMMYFUNCTION("""COMPUTED_VALUE"""),"courtage")</f>
        <v>courtage</v>
      </c>
      <c r="Z27" s="54"/>
      <c r="AA27" s="54"/>
      <c r="AB27" s="54"/>
      <c r="AC27" s="54"/>
      <c r="AD27" s="54"/>
      <c r="AE27" s="54"/>
      <c r="AF27" s="54"/>
      <c r="AG27" s="54"/>
      <c r="AH27" s="54"/>
      <c r="AI27" s="54"/>
      <c r="AJ27" s="54"/>
      <c r="AK27" s="54"/>
    </row>
    <row r="28">
      <c r="A28" s="10" t="s">
        <v>210</v>
      </c>
      <c r="B28" s="10" t="s">
        <v>254</v>
      </c>
      <c r="C28" s="10" t="s">
        <v>210</v>
      </c>
      <c r="D28" s="10" t="s">
        <v>83</v>
      </c>
      <c r="E28" s="10" t="s">
        <v>84</v>
      </c>
      <c r="F28" s="12" t="s">
        <v>222</v>
      </c>
      <c r="G28" s="10"/>
      <c r="H28" s="10" t="s">
        <v>70</v>
      </c>
      <c r="I28" s="10" t="s">
        <v>269</v>
      </c>
      <c r="J28" s="10" t="s">
        <v>70</v>
      </c>
      <c r="K28" s="10" t="s">
        <v>271</v>
      </c>
      <c r="L28" s="12" t="s">
        <v>256</v>
      </c>
      <c r="M28" s="29" t="str">
        <f t="shared" si="1"/>
        <v/>
      </c>
      <c r="N28" s="31">
        <f>IFERROR(__xludf.DUMMYFUNCTION("IF(Account!$F28&lt;&gt;"""", VALUE(REGEXREPLACE($I28, ""\,"", ""."")), """")"),-0.78)</f>
        <v>-0.78</v>
      </c>
      <c r="O28" s="33">
        <f>IF(Account!$F28&lt;&gt;"", DATEVALUE(MID($A28,4,3) &amp; LEFT($A28,3) &amp; RIGHT($A28,4)) + TIMEVALUE($B28), "")</f>
        <v>43619.39583</v>
      </c>
      <c r="P28" s="34">
        <f>IF(Account!$F28&lt;&gt;"", DATEVALUE(MID($C28,4,3) &amp; LEFT($C28,3) &amp; RIGHT($C28,4)), "")</f>
        <v>43619</v>
      </c>
      <c r="Q28" s="35" t="str">
        <f t="array" ref="Q28">IF($R28&lt;&gt;"",IFERROR(INDEX(Investment!$A:$A,MATCH($R28,Investment!$H:$H,0))),)</f>
        <v>Long term US bonds (20-25 year)</v>
      </c>
      <c r="R28" s="36" t="str">
        <f t="array" ref="R28">IF(AND($Y28="change",$H28="EUR"),IF(AND($AA28="Crédit",$O28=$O29),$R29,IF(AND($AA28="Débit",$O28=$O27),$R27)),IF(OR(AND(OR($E28&lt;&gt;"",$M28=""),$N28&lt;&gt;0),$A28=""),IFERROR(INDEX(Investment!$H:$H,MATCH($E28,Investment!$F:$F,0))),IFERROR(INDEX($R29:$R1119,MATCH(SUBSTITUTE($I28,"-","",1),$K29:$K1119,0)),INDEX($R29:$R1119,MATCH($K28,$K29:$K1119,0)))))</f>
        <v>iShares Treasury Bond 20+ UCITS</v>
      </c>
      <c r="S28" s="35" t="str">
        <f t="shared" si="2"/>
        <v>COST</v>
      </c>
      <c r="T28" s="37" t="str">
        <f t="shared" si="3"/>
        <v/>
      </c>
      <c r="U28" s="38" t="str">
        <f t="shared" si="4"/>
        <v/>
      </c>
      <c r="V28" s="31">
        <f t="shared" si="5"/>
        <v>-2.78</v>
      </c>
      <c r="W28" s="39" t="str">
        <f>IFERROR(__xludf.DUMMYFUNCTION(" IF(Account!$F28&lt;&gt;"""", SPLIT(Account!$F28, "" ""), """")"),"Frais")</f>
        <v>Frais</v>
      </c>
      <c r="X28" s="54" t="str">
        <f>IFERROR(__xludf.DUMMYFUNCTION("""COMPUTED_VALUE"""),"de")</f>
        <v>de</v>
      </c>
      <c r="Y28" s="54" t="str">
        <f>IFERROR(__xludf.DUMMYFUNCTION("""COMPUTED_VALUE"""),"courtage")</f>
        <v>courtage</v>
      </c>
      <c r="Z28" s="54"/>
      <c r="AA28" s="54"/>
      <c r="AB28" s="54"/>
      <c r="AC28" s="54"/>
      <c r="AD28" s="54"/>
      <c r="AE28" s="54"/>
      <c r="AF28" s="54"/>
      <c r="AG28" s="54"/>
      <c r="AH28" s="54"/>
      <c r="AI28" s="54"/>
      <c r="AJ28" s="54"/>
      <c r="AK28" s="54"/>
    </row>
    <row r="29">
      <c r="A29" s="10" t="s">
        <v>210</v>
      </c>
      <c r="B29" s="10" t="s">
        <v>254</v>
      </c>
      <c r="C29" s="10" t="s">
        <v>210</v>
      </c>
      <c r="D29" s="10" t="s">
        <v>83</v>
      </c>
      <c r="E29" s="10" t="s">
        <v>84</v>
      </c>
      <c r="F29" s="12" t="s">
        <v>295</v>
      </c>
      <c r="G29" s="10"/>
      <c r="H29" s="10" t="s">
        <v>70</v>
      </c>
      <c r="I29" s="10" t="s">
        <v>296</v>
      </c>
      <c r="J29" s="10" t="s">
        <v>70</v>
      </c>
      <c r="K29" s="10" t="s">
        <v>298</v>
      </c>
      <c r="L29" s="12" t="s">
        <v>256</v>
      </c>
      <c r="M29" s="29">
        <f t="shared" si="1"/>
        <v>-871</v>
      </c>
      <c r="N29" s="31">
        <f>IFERROR(__xludf.DUMMYFUNCTION("IF(Account!$F29&lt;&gt;"""", VALUE(REGEXREPLACE($I29, ""\,"", ""."")), """")"),3886.84)</f>
        <v>3886.84</v>
      </c>
      <c r="O29" s="33">
        <f>IF(Account!$F29&lt;&gt;"", DATEVALUE(MID($A29,4,3) &amp; LEFT($A29,3) &amp; RIGHT($A29,4)) + TIMEVALUE($B29), "")</f>
        <v>43619.39583</v>
      </c>
      <c r="P29" s="34">
        <f>IF(Account!$F29&lt;&gt;"", DATEVALUE(MID($C29,4,3) &amp; LEFT($C29,3) &amp; RIGHT($C29,4)), "")</f>
        <v>43619</v>
      </c>
      <c r="Q29" s="35" t="str">
        <f t="array" ref="Q29">IF($R29&lt;&gt;"",IFERROR(INDEX(Investment!$A:$A,MATCH($R29,Investment!$H:$H,0))),)</f>
        <v>Long term US bonds (20-25 year)</v>
      </c>
      <c r="R29" s="36" t="str">
        <f t="array" ref="R29">IF(AND($Y29="change",$H29="EUR"),IF(AND($AA29="Crédit",$O29=$O30),$R30,IF(AND($AA29="Débit",$O29=$O28),$R28)),IF(OR(AND(OR($E29&lt;&gt;"",$M29=""),$N29&lt;&gt;0),$A29=""),IFERROR(INDEX(Investment!$H:$H,MATCH($E29,Investment!$F:$F,0))),IFERROR(INDEX($R30:$R1119,MATCH(SUBSTITUTE($I29,"-","",1),$K30:$K1119,0)),INDEX($R30:$R1119,MATCH($K29,$K30:$K1119,0)))))</f>
        <v>iShares Treasury Bond 20+ UCITS</v>
      </c>
      <c r="S29" s="35" t="str">
        <f t="shared" si="2"/>
        <v>SELL</v>
      </c>
      <c r="T29" s="37">
        <f t="shared" si="3"/>
        <v>-871</v>
      </c>
      <c r="U29" s="38">
        <f t="shared" si="4"/>
        <v>4.46250287</v>
      </c>
      <c r="V29" s="31">
        <f t="shared" si="5"/>
        <v>3886.84</v>
      </c>
      <c r="W29" s="39" t="str">
        <f>IFERROR(__xludf.DUMMYFUNCTION(" IF(Account!$F29&lt;&gt;"""", SPLIT(Account!$F29, "" ""), """")"),"Vente")</f>
        <v>Vente</v>
      </c>
      <c r="X29" s="54">
        <f>IFERROR(__xludf.DUMMYFUNCTION("""COMPUTED_VALUE"""),871.0)</f>
        <v>871</v>
      </c>
      <c r="Y29" s="54" t="str">
        <f>IFERROR(__xludf.DUMMYFUNCTION("""COMPUTED_VALUE"""),"ISHSIV-DL")</f>
        <v>ISHSIV-DL</v>
      </c>
      <c r="Z29" s="54" t="str">
        <f>IFERROR(__xludf.DUMMYFUNCTION("""COMPUTED_VALUE"""),"T.BD20+YR")</f>
        <v>T.BD20+YR</v>
      </c>
      <c r="AA29" s="54" t="str">
        <f>IFERROR(__xludf.DUMMYFUNCTION("""COMPUTED_VALUE"""),"DL")</f>
        <v>DL</v>
      </c>
      <c r="AB29" s="54" t="str">
        <f>IFERROR(__xludf.DUMMYFUNCTION("""COMPUTED_VALUE"""),"D@4,4625")</f>
        <v>D@4,4625</v>
      </c>
      <c r="AC29" s="54" t="str">
        <f>IFERROR(__xludf.DUMMYFUNCTION("""COMPUTED_VALUE"""),"EUR")</f>
        <v>EUR</v>
      </c>
      <c r="AD29" s="54" t="str">
        <f>IFERROR(__xludf.DUMMYFUNCTION("""COMPUTED_VALUE"""),"(IE00BSKRJZ44)")</f>
        <v>(IE00BSKRJZ44)</v>
      </c>
      <c r="AE29" s="54"/>
      <c r="AF29" s="54"/>
      <c r="AG29" s="54"/>
      <c r="AH29" s="54"/>
      <c r="AI29" s="54"/>
      <c r="AJ29" s="54"/>
      <c r="AK29" s="54"/>
    </row>
    <row r="30">
      <c r="A30" s="10" t="s">
        <v>210</v>
      </c>
      <c r="B30" s="10" t="s">
        <v>310</v>
      </c>
      <c r="C30" s="10" t="s">
        <v>194</v>
      </c>
      <c r="D30" s="10" t="s">
        <v>241</v>
      </c>
      <c r="E30" s="10" t="s">
        <v>242</v>
      </c>
      <c r="F30" s="12" t="s">
        <v>85</v>
      </c>
      <c r="G30" s="10"/>
      <c r="H30" s="10" t="s">
        <v>74</v>
      </c>
      <c r="I30" s="10" t="s">
        <v>311</v>
      </c>
      <c r="J30" s="10" t="s">
        <v>74</v>
      </c>
      <c r="K30" s="10" t="s">
        <v>311</v>
      </c>
      <c r="L30" s="12"/>
      <c r="M30" s="29" t="str">
        <f t="shared" si="1"/>
        <v/>
      </c>
      <c r="N30" s="31">
        <f>IFERROR(__xludf.DUMMYFUNCTION("IF(Account!$F30&lt;&gt;"""", VALUE(REGEXREPLACE($I30, ""\,"", ""."")), """")"),1556.2)</f>
        <v>1556.2</v>
      </c>
      <c r="O30" s="33">
        <f>IF(Account!$F30&lt;&gt;"", DATEVALUE(MID($A30,4,3) &amp; LEFT($A30,3) &amp; RIGHT($A30,4)) + TIMEVALUE($B30), "")</f>
        <v>43619.31042</v>
      </c>
      <c r="P30" s="34">
        <f>IF(Account!$F30&lt;&gt;"", DATEVALUE(MID($C30,4,3) &amp; LEFT($C30,3) &amp; RIGHT($C30,4)), "")</f>
        <v>43616</v>
      </c>
      <c r="Q30" s="35" t="str">
        <f t="array" ref="Q30">IF($R30&lt;&gt;"",IFERROR(INDEX(Investment!$A:$A,MATCH($R30,Investment!$H:$H,0))),)</f>
        <v>Intermediate US bonds (7-10 year)</v>
      </c>
      <c r="R30" s="36" t="str">
        <f t="array" ref="R30">IF(AND($Y30="change",$H30="EUR"),IF(AND($AA30="Crédit",$O30=$O31),$R31,IF(AND($AA30="Débit",$O30=$O29),$R29)),IF(OR(AND(OR($E30&lt;&gt;"",$M30=""),$N30&lt;&gt;0),$A30=""),IFERROR(INDEX(Investment!$H:$H,MATCH($E30,Investment!$F:$F,0))),IFERROR(INDEX($R31:$R1119,MATCH(SUBSTITUTE($I30,"-","",1),$K31:$K1119,0)),INDEX($R31:$R1119,MATCH($K30,$K31:$K1119,0)))))</f>
        <v>iShares Treasury Bond 7-10 UCITS</v>
      </c>
      <c r="S30" s="35" t="str">
        <f t="shared" si="2"/>
        <v>DIVIDEND</v>
      </c>
      <c r="T30" s="37" t="str">
        <f t="shared" si="3"/>
        <v/>
      </c>
      <c r="U30" s="38" t="str">
        <f t="shared" si="4"/>
        <v/>
      </c>
      <c r="V30" s="31">
        <f t="shared" si="5"/>
        <v>1556.2</v>
      </c>
      <c r="W30" s="39" t="str">
        <f>IFERROR(__xludf.DUMMYFUNCTION(" IF(Account!$F30&lt;&gt;"""", SPLIT(Account!$F30, "" ""), """")"),"Dividende")</f>
        <v>Dividende</v>
      </c>
      <c r="X30" s="54"/>
      <c r="Y30" s="54"/>
      <c r="Z30" s="54"/>
      <c r="AA30" s="54"/>
      <c r="AB30" s="54"/>
      <c r="AC30" s="54"/>
      <c r="AD30" s="54"/>
      <c r="AE30" s="54"/>
      <c r="AF30" s="54"/>
      <c r="AG30" s="54"/>
      <c r="AH30" s="54"/>
      <c r="AI30" s="54"/>
      <c r="AJ30" s="54"/>
      <c r="AK30" s="54"/>
    </row>
    <row r="31">
      <c r="A31" s="10" t="s">
        <v>194</v>
      </c>
      <c r="B31" s="10" t="s">
        <v>314</v>
      </c>
      <c r="C31" s="10" t="s">
        <v>194</v>
      </c>
      <c r="D31" s="10" t="s">
        <v>83</v>
      </c>
      <c r="E31" s="10" t="s">
        <v>84</v>
      </c>
      <c r="F31" s="12" t="s">
        <v>222</v>
      </c>
      <c r="G31" s="10"/>
      <c r="H31" s="10" t="s">
        <v>70</v>
      </c>
      <c r="I31" s="10" t="s">
        <v>223</v>
      </c>
      <c r="J31" s="10" t="s">
        <v>70</v>
      </c>
      <c r="K31" s="10" t="s">
        <v>315</v>
      </c>
      <c r="L31" s="12" t="s">
        <v>316</v>
      </c>
      <c r="M31" s="29" t="str">
        <f t="shared" si="1"/>
        <v/>
      </c>
      <c r="N31" s="31">
        <f>IFERROR(__xludf.DUMMYFUNCTION("IF(Account!$F31&lt;&gt;"""", VALUE(REGEXREPLACE($I31, ""\,"", ""."")), """")"),-2.0)</f>
        <v>-2</v>
      </c>
      <c r="O31" s="33">
        <f>IF(Account!$F31&lt;&gt;"", DATEVALUE(MID($A31,4,3) &amp; LEFT($A31,3) &amp; RIGHT($A31,4)) + TIMEVALUE($B31), "")</f>
        <v>43616.67778</v>
      </c>
      <c r="P31" s="34">
        <f>IF(Account!$F31&lt;&gt;"", DATEVALUE(MID($C31,4,3) &amp; LEFT($C31,3) &amp; RIGHT($C31,4)), "")</f>
        <v>43616</v>
      </c>
      <c r="Q31" s="35" t="str">
        <f t="array" ref="Q31">IF($R31&lt;&gt;"",IFERROR(INDEX(Investment!$A:$A,MATCH($R31,Investment!$H:$H,0))),)</f>
        <v>Long term US bonds (20-25 year)</v>
      </c>
      <c r="R31" s="36" t="str">
        <f t="array" ref="R31">IF(AND($Y31="change",$H31="EUR"),IF(AND($AA31="Crédit",$O31=$O32),$R32,IF(AND($AA31="Débit",$O31=$O30),$R30)),IF(OR(AND(OR($E31&lt;&gt;"",$M31=""),$N31&lt;&gt;0),$A31=""),IFERROR(INDEX(Investment!$H:$H,MATCH($E31,Investment!$F:$F,0))),IFERROR(INDEX($R32:$R1119,MATCH(SUBSTITUTE($I31,"-","",1),$K32:$K1119,0)),INDEX($R32:$R1119,MATCH($K31,$K32:$K1119,0)))))</f>
        <v>iShares Treasury Bond 20+ UCITS</v>
      </c>
      <c r="S31" s="35" t="str">
        <f t="shared" si="2"/>
        <v>COST</v>
      </c>
      <c r="T31" s="37" t="str">
        <f t="shared" si="3"/>
        <v/>
      </c>
      <c r="U31" s="38" t="str">
        <f t="shared" si="4"/>
        <v/>
      </c>
      <c r="V31" s="31">
        <f t="shared" si="5"/>
        <v>-2.26</v>
      </c>
      <c r="W31" s="39" t="str">
        <f>IFERROR(__xludf.DUMMYFUNCTION(" IF(Account!$F31&lt;&gt;"""", SPLIT(Account!$F31, "" ""), """")"),"Frais")</f>
        <v>Frais</v>
      </c>
      <c r="X31" s="54" t="str">
        <f>IFERROR(__xludf.DUMMYFUNCTION("""COMPUTED_VALUE"""),"de")</f>
        <v>de</v>
      </c>
      <c r="Y31" s="54" t="str">
        <f>IFERROR(__xludf.DUMMYFUNCTION("""COMPUTED_VALUE"""),"courtage")</f>
        <v>courtage</v>
      </c>
      <c r="Z31" s="54"/>
      <c r="AA31" s="54"/>
      <c r="AB31" s="54"/>
      <c r="AC31" s="54"/>
      <c r="AD31" s="54"/>
      <c r="AE31" s="54"/>
      <c r="AF31" s="54"/>
      <c r="AG31" s="54"/>
      <c r="AH31" s="54"/>
      <c r="AI31" s="54"/>
      <c r="AJ31" s="54"/>
      <c r="AK31" s="54"/>
    </row>
    <row r="32">
      <c r="A32" s="10" t="s">
        <v>194</v>
      </c>
      <c r="B32" s="10" t="s">
        <v>314</v>
      </c>
      <c r="C32" s="10" t="s">
        <v>194</v>
      </c>
      <c r="D32" s="10" t="s">
        <v>83</v>
      </c>
      <c r="E32" s="10" t="s">
        <v>84</v>
      </c>
      <c r="F32" s="12" t="s">
        <v>222</v>
      </c>
      <c r="G32" s="10"/>
      <c r="H32" s="10" t="s">
        <v>70</v>
      </c>
      <c r="I32" s="10" t="s">
        <v>322</v>
      </c>
      <c r="J32" s="10" t="s">
        <v>70</v>
      </c>
      <c r="K32" s="10" t="s">
        <v>323</v>
      </c>
      <c r="L32" s="12" t="s">
        <v>316</v>
      </c>
      <c r="M32" s="29" t="str">
        <f t="shared" si="1"/>
        <v/>
      </c>
      <c r="N32" s="31">
        <f>IFERROR(__xludf.DUMMYFUNCTION("IF(Account!$F32&lt;&gt;"""", VALUE(REGEXREPLACE($I32, ""\,"", ""."")), """")"),-0.26)</f>
        <v>-0.26</v>
      </c>
      <c r="O32" s="33">
        <f>IF(Account!$F32&lt;&gt;"", DATEVALUE(MID($A32,4,3) &amp; LEFT($A32,3) &amp; RIGHT($A32,4)) + TIMEVALUE($B32), "")</f>
        <v>43616.67778</v>
      </c>
      <c r="P32" s="34">
        <f>IF(Account!$F32&lt;&gt;"", DATEVALUE(MID($C32,4,3) &amp; LEFT($C32,3) &amp; RIGHT($C32,4)), "")</f>
        <v>43616</v>
      </c>
      <c r="Q32" s="35" t="str">
        <f t="array" ref="Q32">IF($R32&lt;&gt;"",IFERROR(INDEX(Investment!$A:$A,MATCH($R32,Investment!$H:$H,0))),)</f>
        <v>Long term US bonds (20-25 year)</v>
      </c>
      <c r="R32" s="36" t="str">
        <f t="array" ref="R32">IF(AND($Y32="change",$H32="EUR"),IF(AND($AA32="Crédit",$O32=$O33),$R33,IF(AND($AA32="Débit",$O32=$O31),$R31)),IF(OR(AND(OR($E32&lt;&gt;"",$M32=""),$N32&lt;&gt;0),$A32=""),IFERROR(INDEX(Investment!$H:$H,MATCH($E32,Investment!$F:$F,0))),IFERROR(INDEX($R33:$R1119,MATCH(SUBSTITUTE($I32,"-","",1),$K33:$K1119,0)),INDEX($R33:$R1119,MATCH($K32,$K33:$K1119,0)))))</f>
        <v>iShares Treasury Bond 20+ UCITS</v>
      </c>
      <c r="S32" s="35" t="str">
        <f t="shared" si="2"/>
        <v>COST</v>
      </c>
      <c r="T32" s="37" t="str">
        <f t="shared" si="3"/>
        <v/>
      </c>
      <c r="U32" s="38" t="str">
        <f t="shared" si="4"/>
        <v/>
      </c>
      <c r="V32" s="31">
        <f t="shared" si="5"/>
        <v>-2.26</v>
      </c>
      <c r="W32" s="39" t="str">
        <f>IFERROR(__xludf.DUMMYFUNCTION(" IF(Account!$F32&lt;&gt;"""", SPLIT(Account!$F32, "" ""), """")"),"Frais")</f>
        <v>Frais</v>
      </c>
      <c r="X32" s="54" t="str">
        <f>IFERROR(__xludf.DUMMYFUNCTION("""COMPUTED_VALUE"""),"de")</f>
        <v>de</v>
      </c>
      <c r="Y32" s="54" t="str">
        <f>IFERROR(__xludf.DUMMYFUNCTION("""COMPUTED_VALUE"""),"courtage")</f>
        <v>courtage</v>
      </c>
      <c r="Z32" s="54"/>
      <c r="AA32" s="54"/>
      <c r="AB32" s="54"/>
      <c r="AC32" s="54"/>
      <c r="AD32" s="54"/>
      <c r="AE32" s="54"/>
      <c r="AF32" s="54"/>
      <c r="AG32" s="54"/>
      <c r="AH32" s="54"/>
      <c r="AI32" s="54"/>
      <c r="AJ32" s="54"/>
      <c r="AK32" s="54"/>
    </row>
    <row r="33">
      <c r="A33" s="10" t="s">
        <v>194</v>
      </c>
      <c r="B33" s="10" t="s">
        <v>314</v>
      </c>
      <c r="C33" s="10" t="s">
        <v>194</v>
      </c>
      <c r="D33" s="10" t="s">
        <v>83</v>
      </c>
      <c r="E33" s="10" t="s">
        <v>84</v>
      </c>
      <c r="F33" s="12" t="s">
        <v>325</v>
      </c>
      <c r="G33" s="10"/>
      <c r="H33" s="10" t="s">
        <v>70</v>
      </c>
      <c r="I33" s="10" t="s">
        <v>326</v>
      </c>
      <c r="J33" s="10" t="s">
        <v>70</v>
      </c>
      <c r="K33" s="10" t="s">
        <v>327</v>
      </c>
      <c r="L33" s="12" t="s">
        <v>316</v>
      </c>
      <c r="M33" s="29">
        <f t="shared" si="1"/>
        <v>-298</v>
      </c>
      <c r="N33" s="31">
        <f>IFERROR(__xludf.DUMMYFUNCTION("IF(Account!$F33&lt;&gt;"""", VALUE(REGEXREPLACE($I33, ""\,"", ""."")), """")"),1320.26)</f>
        <v>1320.26</v>
      </c>
      <c r="O33" s="33">
        <f>IF(Account!$F33&lt;&gt;"", DATEVALUE(MID($A33,4,3) &amp; LEFT($A33,3) &amp; RIGHT($A33,4)) + TIMEVALUE($B33), "")</f>
        <v>43616.67778</v>
      </c>
      <c r="P33" s="34">
        <f>IF(Account!$F33&lt;&gt;"", DATEVALUE(MID($C33,4,3) &amp; LEFT($C33,3) &amp; RIGHT($C33,4)), "")</f>
        <v>43616</v>
      </c>
      <c r="Q33" s="35" t="str">
        <f t="array" ref="Q33">IF($R33&lt;&gt;"",IFERROR(INDEX(Investment!$A:$A,MATCH($R33,Investment!$H:$H,0))),)</f>
        <v>Long term US bonds (20-25 year)</v>
      </c>
      <c r="R33" s="36" t="str">
        <f t="array" ref="R33">IF(AND($Y33="change",$H33="EUR"),IF(AND($AA33="Crédit",$O33=$O34),$R34,IF(AND($AA33="Débit",$O33=$O32),$R32)),IF(OR(AND(OR($E33&lt;&gt;"",$M33=""),$N33&lt;&gt;0),$A33=""),IFERROR(INDEX(Investment!$H:$H,MATCH($E33,Investment!$F:$F,0))),IFERROR(INDEX($R34:$R1119,MATCH(SUBSTITUTE($I33,"-","",1),$K34:$K1119,0)),INDEX($R34:$R1119,MATCH($K33,$K34:$K1119,0)))))</f>
        <v>iShares Treasury Bond 20+ UCITS</v>
      </c>
      <c r="S33" s="35" t="str">
        <f t="shared" si="2"/>
        <v>SELL</v>
      </c>
      <c r="T33" s="37">
        <f t="shared" si="3"/>
        <v>-298</v>
      </c>
      <c r="U33" s="38">
        <f t="shared" si="4"/>
        <v>4.430402685</v>
      </c>
      <c r="V33" s="31">
        <f t="shared" si="5"/>
        <v>1320.26</v>
      </c>
      <c r="W33" s="39" t="str">
        <f>IFERROR(__xludf.DUMMYFUNCTION(" IF(Account!$F33&lt;&gt;"""", SPLIT(Account!$F33, "" ""), """")"),"Vente")</f>
        <v>Vente</v>
      </c>
      <c r="X33" s="54">
        <f>IFERROR(__xludf.DUMMYFUNCTION("""COMPUTED_VALUE"""),298.0)</f>
        <v>298</v>
      </c>
      <c r="Y33" s="54" t="str">
        <f>IFERROR(__xludf.DUMMYFUNCTION("""COMPUTED_VALUE"""),"ISHSIV-DL")</f>
        <v>ISHSIV-DL</v>
      </c>
      <c r="Z33" s="54" t="str">
        <f>IFERROR(__xludf.DUMMYFUNCTION("""COMPUTED_VALUE"""),"T.BD20+YR")</f>
        <v>T.BD20+YR</v>
      </c>
      <c r="AA33" s="54" t="str">
        <f>IFERROR(__xludf.DUMMYFUNCTION("""COMPUTED_VALUE"""),"DL")</f>
        <v>DL</v>
      </c>
      <c r="AB33" s="54" t="str">
        <f>IFERROR(__xludf.DUMMYFUNCTION("""COMPUTED_VALUE"""),"D@4,4304")</f>
        <v>D@4,4304</v>
      </c>
      <c r="AC33" s="54" t="str">
        <f>IFERROR(__xludf.DUMMYFUNCTION("""COMPUTED_VALUE"""),"EUR")</f>
        <v>EUR</v>
      </c>
      <c r="AD33" s="54" t="str">
        <f>IFERROR(__xludf.DUMMYFUNCTION("""COMPUTED_VALUE"""),"(IE00BSKRJZ44)")</f>
        <v>(IE00BSKRJZ44)</v>
      </c>
      <c r="AE33" s="54"/>
      <c r="AF33" s="54"/>
      <c r="AG33" s="54"/>
      <c r="AH33" s="54"/>
      <c r="AI33" s="54"/>
      <c r="AJ33" s="54"/>
      <c r="AK33" s="54"/>
    </row>
    <row r="34">
      <c r="A34" s="10" t="s">
        <v>194</v>
      </c>
      <c r="B34" s="10" t="s">
        <v>314</v>
      </c>
      <c r="C34" s="10" t="s">
        <v>194</v>
      </c>
      <c r="D34" s="10" t="s">
        <v>241</v>
      </c>
      <c r="E34" s="10" t="s">
        <v>242</v>
      </c>
      <c r="F34" s="12" t="s">
        <v>333</v>
      </c>
      <c r="G34" s="10"/>
      <c r="H34" s="10" t="s">
        <v>70</v>
      </c>
      <c r="I34" s="10" t="s">
        <v>334</v>
      </c>
      <c r="J34" s="10" t="s">
        <v>70</v>
      </c>
      <c r="K34" s="10" t="s">
        <v>335</v>
      </c>
      <c r="L34" s="12" t="s">
        <v>336</v>
      </c>
      <c r="M34" s="29">
        <f t="shared" si="1"/>
        <v>-6</v>
      </c>
      <c r="N34" s="31">
        <f>IFERROR(__xludf.DUMMYFUNCTION("IF(Account!$F34&lt;&gt;"""", VALUE(REGEXREPLACE($I34, ""\,"", ""."")), """")"),1069.8)</f>
        <v>1069.8</v>
      </c>
      <c r="O34" s="33">
        <f>IF(Account!$F34&lt;&gt;"", DATEVALUE(MID($A34,4,3) &amp; LEFT($A34,3) &amp; RIGHT($A34,4)) + TIMEVALUE($B34), "")</f>
        <v>43616.67778</v>
      </c>
      <c r="P34" s="34">
        <f>IF(Account!$F34&lt;&gt;"", DATEVALUE(MID($C34,4,3) &amp; LEFT($C34,3) &amp; RIGHT($C34,4)), "")</f>
        <v>43616</v>
      </c>
      <c r="Q34" s="35" t="str">
        <f t="array" ref="Q34">IF($R34&lt;&gt;"",IFERROR(INDEX(Investment!$A:$A,MATCH($R34,Investment!$H:$H,0))),)</f>
        <v>Intermediate US bonds (7-10 year)</v>
      </c>
      <c r="R34" s="36" t="str">
        <f t="array" ref="R34">IF(AND($Y34="change",$H34="EUR"),IF(AND($AA34="Crédit",$O34=$O35),$R35,IF(AND($AA34="Débit",$O34=$O33),$R33)),IF(OR(AND(OR($E34&lt;&gt;"",$M34=""),$N34&lt;&gt;0),$A34=""),IFERROR(INDEX(Investment!$H:$H,MATCH($E34,Investment!$F:$F,0))),IFERROR(INDEX($R35:$R1119,MATCH(SUBSTITUTE($I34,"-","",1),$K35:$K1119,0)),INDEX($R35:$R1119,MATCH($K34,$K35:$K1119,0)))))</f>
        <v>iShares Treasury Bond 7-10 UCITS</v>
      </c>
      <c r="S34" s="35" t="str">
        <f t="shared" si="2"/>
        <v>SELL</v>
      </c>
      <c r="T34" s="37">
        <f t="shared" si="3"/>
        <v>-6</v>
      </c>
      <c r="U34" s="38">
        <f t="shared" si="4"/>
        <v>178.3</v>
      </c>
      <c r="V34" s="31">
        <f t="shared" si="5"/>
        <v>1069.8</v>
      </c>
      <c r="W34" s="39" t="str">
        <f>IFERROR(__xludf.DUMMYFUNCTION(" IF(Account!$F34&lt;&gt;"""", SPLIT(Account!$F34, "" ""), """")"),"Vente")</f>
        <v>Vente</v>
      </c>
      <c r="X34" s="54">
        <f>IFERROR(__xludf.DUMMYFUNCTION("""COMPUTED_VALUE"""),6.0)</f>
        <v>6</v>
      </c>
      <c r="Y34" s="54" t="str">
        <f>IFERROR(__xludf.DUMMYFUNCTION("""COMPUTED_VALUE"""),"ISHARES")</f>
        <v>ISHARES</v>
      </c>
      <c r="Z34" s="54" t="str">
        <f>IFERROR(__xludf.DUMMYFUNCTION("""COMPUTED_VALUE"""),"US")</f>
        <v>US</v>
      </c>
      <c r="AA34" s="54" t="str">
        <f>IFERROR(__xludf.DUMMYFUNCTION("""COMPUTED_VALUE"""),"T")</f>
        <v>T</v>
      </c>
      <c r="AB34" s="54" t="str">
        <f>IFERROR(__xludf.DUMMYFUNCTION("""COMPUTED_VALUE"""),"7-10@178,3")</f>
        <v>7-10@178,3</v>
      </c>
      <c r="AC34" s="54" t="str">
        <f>IFERROR(__xludf.DUMMYFUNCTION("""COMPUTED_VALUE"""),"EUR")</f>
        <v>EUR</v>
      </c>
      <c r="AD34" s="54" t="str">
        <f>IFERROR(__xludf.DUMMYFUNCTION("""COMPUTED_VALUE"""),"(IE00B1FZS798)")</f>
        <v>(IE00B1FZS798)</v>
      </c>
      <c r="AE34" s="54"/>
      <c r="AF34" s="54"/>
      <c r="AG34" s="54"/>
      <c r="AH34" s="54"/>
      <c r="AI34" s="54"/>
      <c r="AJ34" s="54"/>
      <c r="AK34" s="54"/>
    </row>
    <row r="35">
      <c r="A35" s="10" t="s">
        <v>194</v>
      </c>
      <c r="B35" s="10" t="s">
        <v>338</v>
      </c>
      <c r="C35" s="10" t="s">
        <v>194</v>
      </c>
      <c r="D35" s="10" t="s">
        <v>89</v>
      </c>
      <c r="E35" s="10" t="s">
        <v>90</v>
      </c>
      <c r="F35" s="12" t="s">
        <v>339</v>
      </c>
      <c r="G35" s="10"/>
      <c r="H35" s="10" t="s">
        <v>70</v>
      </c>
      <c r="I35" s="10" t="s">
        <v>340</v>
      </c>
      <c r="J35" s="10" t="s">
        <v>70</v>
      </c>
      <c r="K35" s="10" t="s">
        <v>341</v>
      </c>
      <c r="L35" s="12" t="s">
        <v>342</v>
      </c>
      <c r="M35" s="29">
        <f t="shared" si="1"/>
        <v>-10</v>
      </c>
      <c r="N35" s="31">
        <f>IFERROR(__xludf.DUMMYFUNCTION("IF(Account!$F35&lt;&gt;"""", VALUE(REGEXREPLACE($I35, ""\,"", ""."")), """")"),1109.6)</f>
        <v>1109.6</v>
      </c>
      <c r="O35" s="33">
        <f>IF(Account!$F35&lt;&gt;"", DATEVALUE(MID($A35,4,3) &amp; LEFT($A35,3) &amp; RIGHT($A35,4)) + TIMEVALUE($B35), "")</f>
        <v>43616.63056</v>
      </c>
      <c r="P35" s="34">
        <f>IF(Account!$F35&lt;&gt;"", DATEVALUE(MID($C35,4,3) &amp; LEFT($C35,3) &amp; RIGHT($C35,4)), "")</f>
        <v>43616</v>
      </c>
      <c r="Q35" s="35" t="str">
        <f t="array" ref="Q35">IF($R35&lt;&gt;"",IFERROR(INDEX(Investment!$A:$A,MATCH($R35,Investment!$H:$H,0))),)</f>
        <v>Gold</v>
      </c>
      <c r="R35" s="36" t="str">
        <f t="array" ref="R35">IF(AND($Y35="change",$H35="EUR"),IF(AND($AA35="Crédit",$O35=$O36),$R36,IF(AND($AA35="Débit",$O35=$O34),$R34)),IF(OR(AND(OR($E35&lt;&gt;"",$M35=""),$N35&lt;&gt;0),$A35=""),IFERROR(INDEX(Investment!$H:$H,MATCH($E35,Investment!$F:$F,0))),IFERROR(INDEX($R36:$R1119,MATCH(SUBSTITUTE($I35,"-","",1),$K36:$K1119,0)),INDEX($R36:$R1119,MATCH($K35,$K36:$K1119,0)))))</f>
        <v>ETFS Physical Gold</v>
      </c>
      <c r="S35" s="35" t="str">
        <f t="shared" si="2"/>
        <v>SELL</v>
      </c>
      <c r="T35" s="37">
        <f t="shared" si="3"/>
        <v>-10</v>
      </c>
      <c r="U35" s="38">
        <f t="shared" si="4"/>
        <v>110.96</v>
      </c>
      <c r="V35" s="31">
        <f t="shared" si="5"/>
        <v>1109.6</v>
      </c>
      <c r="W35" s="39" t="str">
        <f>IFERROR(__xludf.DUMMYFUNCTION(" IF(Account!$F35&lt;&gt;"""", SPLIT(Account!$F35, "" ""), """")"),"Vente")</f>
        <v>Vente</v>
      </c>
      <c r="X35" s="54">
        <f>IFERROR(__xludf.DUMMYFUNCTION("""COMPUTED_VALUE"""),10.0)</f>
        <v>10</v>
      </c>
      <c r="Y35" s="54" t="str">
        <f>IFERROR(__xludf.DUMMYFUNCTION("""COMPUTED_VALUE"""),"ETFS")</f>
        <v>ETFS</v>
      </c>
      <c r="Z35" s="54" t="str">
        <f>IFERROR(__xludf.DUMMYFUNCTION("""COMPUTED_VALUE"""),"PHYSICALGOLD@110,96")</f>
        <v>PHYSICALGOLD@110,96</v>
      </c>
      <c r="AA35" s="54" t="str">
        <f>IFERROR(__xludf.DUMMYFUNCTION("""COMPUTED_VALUE"""),"EUR")</f>
        <v>EUR</v>
      </c>
      <c r="AB35" s="54" t="str">
        <f>IFERROR(__xludf.DUMMYFUNCTION("""COMPUTED_VALUE"""),"(JE00B1VS3770)")</f>
        <v>(JE00B1VS3770)</v>
      </c>
      <c r="AC35" s="54"/>
      <c r="AD35" s="54"/>
      <c r="AE35" s="54"/>
      <c r="AF35" s="54"/>
      <c r="AG35" s="54"/>
      <c r="AH35" s="54"/>
      <c r="AI35" s="54"/>
      <c r="AJ35" s="54"/>
      <c r="AK35" s="54"/>
    </row>
    <row r="36">
      <c r="A36" s="10" t="s">
        <v>194</v>
      </c>
      <c r="B36" s="10" t="s">
        <v>347</v>
      </c>
      <c r="C36" s="10" t="s">
        <v>194</v>
      </c>
      <c r="D36" s="10" t="s">
        <v>241</v>
      </c>
      <c r="E36" s="10" t="s">
        <v>242</v>
      </c>
      <c r="F36" s="12" t="s">
        <v>348</v>
      </c>
      <c r="G36" s="10"/>
      <c r="H36" s="10" t="s">
        <v>70</v>
      </c>
      <c r="I36" s="10" t="s">
        <v>349</v>
      </c>
      <c r="J36" s="10" t="s">
        <v>70</v>
      </c>
      <c r="K36" s="10" t="s">
        <v>350</v>
      </c>
      <c r="L36" s="12" t="s">
        <v>351</v>
      </c>
      <c r="M36" s="29">
        <f t="shared" si="1"/>
        <v>-6</v>
      </c>
      <c r="N36" s="31">
        <f>IFERROR(__xludf.DUMMYFUNCTION("IF(Account!$F36&lt;&gt;"""", VALUE(REGEXREPLACE($I36, ""\,"", ""."")), """")"),1072.38)</f>
        <v>1072.38</v>
      </c>
      <c r="O36" s="33">
        <f>IF(Account!$F36&lt;&gt;"", DATEVALUE(MID($A36,4,3) &amp; LEFT($A36,3) &amp; RIGHT($A36,4)) + TIMEVALUE($B36), "")</f>
        <v>43616.48611</v>
      </c>
      <c r="P36" s="34">
        <f>IF(Account!$F36&lt;&gt;"", DATEVALUE(MID($C36,4,3) &amp; LEFT($C36,3) &amp; RIGHT($C36,4)), "")</f>
        <v>43616</v>
      </c>
      <c r="Q36" s="35" t="str">
        <f t="array" ref="Q36">IF($R36&lt;&gt;"",IFERROR(INDEX(Investment!$A:$A,MATCH($R36,Investment!$H:$H,0))),)</f>
        <v>Intermediate US bonds (7-10 year)</v>
      </c>
      <c r="R36" s="36" t="str">
        <f t="array" ref="R36">IF(AND($Y36="change",$H36="EUR"),IF(AND($AA36="Crédit",$O36=$O37),$R37,IF(AND($AA36="Débit",$O36=$O35),$R35)),IF(OR(AND(OR($E36&lt;&gt;"",$M36=""),$N36&lt;&gt;0),$A36=""),IFERROR(INDEX(Investment!$H:$H,MATCH($E36,Investment!$F:$F,0))),IFERROR(INDEX($R37:$R1119,MATCH(SUBSTITUTE($I36,"-","",1),$K37:$K1119,0)),INDEX($R37:$R1119,MATCH($K36,$K37:$K1119,0)))))</f>
        <v>iShares Treasury Bond 7-10 UCITS</v>
      </c>
      <c r="S36" s="35" t="str">
        <f t="shared" si="2"/>
        <v>SELL</v>
      </c>
      <c r="T36" s="37">
        <f t="shared" si="3"/>
        <v>-6</v>
      </c>
      <c r="U36" s="38">
        <f t="shared" si="4"/>
        <v>178.73</v>
      </c>
      <c r="V36" s="31">
        <f t="shared" si="5"/>
        <v>1072.38</v>
      </c>
      <c r="W36" s="39" t="str">
        <f>IFERROR(__xludf.DUMMYFUNCTION(" IF(Account!$F36&lt;&gt;"""", SPLIT(Account!$F36, "" ""), """")"),"Vente")</f>
        <v>Vente</v>
      </c>
      <c r="X36" s="54">
        <f>IFERROR(__xludf.DUMMYFUNCTION("""COMPUTED_VALUE"""),6.0)</f>
        <v>6</v>
      </c>
      <c r="Y36" s="54" t="str">
        <f>IFERROR(__xludf.DUMMYFUNCTION("""COMPUTED_VALUE"""),"ISHARES")</f>
        <v>ISHARES</v>
      </c>
      <c r="Z36" s="54" t="str">
        <f>IFERROR(__xludf.DUMMYFUNCTION("""COMPUTED_VALUE"""),"US")</f>
        <v>US</v>
      </c>
      <c r="AA36" s="54" t="str">
        <f>IFERROR(__xludf.DUMMYFUNCTION("""COMPUTED_VALUE"""),"T")</f>
        <v>T</v>
      </c>
      <c r="AB36" s="54" t="str">
        <f>IFERROR(__xludf.DUMMYFUNCTION("""COMPUTED_VALUE"""),"7-10@178,73")</f>
        <v>7-10@178,73</v>
      </c>
      <c r="AC36" s="54" t="str">
        <f>IFERROR(__xludf.DUMMYFUNCTION("""COMPUTED_VALUE"""),"EUR")</f>
        <v>EUR</v>
      </c>
      <c r="AD36" s="54" t="str">
        <f>IFERROR(__xludf.DUMMYFUNCTION("""COMPUTED_VALUE"""),"(IE00B1FZS798)")</f>
        <v>(IE00B1FZS798)</v>
      </c>
      <c r="AE36" s="54"/>
      <c r="AF36" s="54"/>
      <c r="AG36" s="54"/>
      <c r="AH36" s="54"/>
      <c r="AI36" s="54"/>
      <c r="AJ36" s="54"/>
      <c r="AK36" s="54"/>
    </row>
    <row r="37">
      <c r="A37" s="10" t="s">
        <v>194</v>
      </c>
      <c r="B37" s="10" t="s">
        <v>353</v>
      </c>
      <c r="C37" s="10" t="s">
        <v>194</v>
      </c>
      <c r="D37" s="10" t="s">
        <v>83</v>
      </c>
      <c r="E37" s="10" t="s">
        <v>84</v>
      </c>
      <c r="F37" s="12" t="s">
        <v>222</v>
      </c>
      <c r="G37" s="10"/>
      <c r="H37" s="10" t="s">
        <v>70</v>
      </c>
      <c r="I37" s="10" t="s">
        <v>223</v>
      </c>
      <c r="J37" s="10" t="s">
        <v>70</v>
      </c>
      <c r="K37" s="10" t="s">
        <v>354</v>
      </c>
      <c r="L37" s="12" t="s">
        <v>355</v>
      </c>
      <c r="M37" s="29" t="str">
        <f t="shared" si="1"/>
        <v/>
      </c>
      <c r="N37" s="31">
        <f>IFERROR(__xludf.DUMMYFUNCTION("IF(Account!$F37&lt;&gt;"""", VALUE(REGEXREPLACE($I37, ""\,"", ""."")), """")"),-2.0)</f>
        <v>-2</v>
      </c>
      <c r="O37" s="33">
        <f>IF(Account!$F37&lt;&gt;"", DATEVALUE(MID($A37,4,3) &amp; LEFT($A37,3) &amp; RIGHT($A37,4)) + TIMEVALUE($B37), "")</f>
        <v>43616.45972</v>
      </c>
      <c r="P37" s="34">
        <f>IF(Account!$F37&lt;&gt;"", DATEVALUE(MID($C37,4,3) &amp; LEFT($C37,3) &amp; RIGHT($C37,4)), "")</f>
        <v>43616</v>
      </c>
      <c r="Q37" s="35" t="str">
        <f t="array" ref="Q37">IF($R37&lt;&gt;"",IFERROR(INDEX(Investment!$A:$A,MATCH($R37,Investment!$H:$H,0))),)</f>
        <v>Long term US bonds (20-25 year)</v>
      </c>
      <c r="R37" s="36" t="str">
        <f t="array" ref="R37">IF(AND($Y37="change",$H37="EUR"),IF(AND($AA37="Crédit",$O37=$O38),$R38,IF(AND($AA37="Débit",$O37=$O36),$R36)),IF(OR(AND(OR($E37&lt;&gt;"",$M37=""),$N37&lt;&gt;0),$A37=""),IFERROR(INDEX(Investment!$H:$H,MATCH($E37,Investment!$F:$F,0))),IFERROR(INDEX($R38:$R1119,MATCH(SUBSTITUTE($I37,"-","",1),$K38:$K1119,0)),INDEX($R38:$R1119,MATCH($K37,$K38:$K1119,0)))))</f>
        <v>iShares Treasury Bond 20+ UCITS</v>
      </c>
      <c r="S37" s="35" t="str">
        <f t="shared" si="2"/>
        <v>COST</v>
      </c>
      <c r="T37" s="37" t="str">
        <f t="shared" si="3"/>
        <v/>
      </c>
      <c r="U37" s="38" t="str">
        <f t="shared" si="4"/>
        <v/>
      </c>
      <c r="V37" s="31">
        <f t="shared" si="5"/>
        <v>-3</v>
      </c>
      <c r="W37" s="39" t="str">
        <f>IFERROR(__xludf.DUMMYFUNCTION(" IF(Account!$F37&lt;&gt;"""", SPLIT(Account!$F37, "" ""), """")"),"Frais")</f>
        <v>Frais</v>
      </c>
      <c r="X37" s="54" t="str">
        <f>IFERROR(__xludf.DUMMYFUNCTION("""COMPUTED_VALUE"""),"de")</f>
        <v>de</v>
      </c>
      <c r="Y37" s="54" t="str">
        <f>IFERROR(__xludf.DUMMYFUNCTION("""COMPUTED_VALUE"""),"courtage")</f>
        <v>courtage</v>
      </c>
      <c r="Z37" s="54"/>
      <c r="AA37" s="54"/>
      <c r="AB37" s="54"/>
      <c r="AC37" s="54"/>
      <c r="AD37" s="54"/>
      <c r="AE37" s="54"/>
      <c r="AF37" s="54"/>
      <c r="AG37" s="54"/>
      <c r="AH37" s="54"/>
      <c r="AI37" s="54"/>
      <c r="AJ37" s="54"/>
      <c r="AK37" s="54"/>
    </row>
    <row r="38">
      <c r="A38" s="10" t="s">
        <v>194</v>
      </c>
      <c r="B38" s="10" t="s">
        <v>353</v>
      </c>
      <c r="C38" s="10" t="s">
        <v>194</v>
      </c>
      <c r="D38" s="10" t="s">
        <v>83</v>
      </c>
      <c r="E38" s="10" t="s">
        <v>84</v>
      </c>
      <c r="F38" s="12" t="s">
        <v>222</v>
      </c>
      <c r="G38" s="10"/>
      <c r="H38" s="10" t="s">
        <v>70</v>
      </c>
      <c r="I38" s="10" t="s">
        <v>360</v>
      </c>
      <c r="J38" s="10" t="s">
        <v>70</v>
      </c>
      <c r="K38" s="10" t="s">
        <v>361</v>
      </c>
      <c r="L38" s="12" t="s">
        <v>355</v>
      </c>
      <c r="M38" s="29" t="str">
        <f t="shared" si="1"/>
        <v/>
      </c>
      <c r="N38" s="31">
        <f>IFERROR(__xludf.DUMMYFUNCTION("IF(Account!$F38&lt;&gt;"""", VALUE(REGEXREPLACE($I38, ""\,"", ""."")), """")"),-1.0)</f>
        <v>-1</v>
      </c>
      <c r="O38" s="33">
        <f>IF(Account!$F38&lt;&gt;"", DATEVALUE(MID($A38,4,3) &amp; LEFT($A38,3) &amp; RIGHT($A38,4)) + TIMEVALUE($B38), "")</f>
        <v>43616.45972</v>
      </c>
      <c r="P38" s="34">
        <f>IF(Account!$F38&lt;&gt;"", DATEVALUE(MID($C38,4,3) &amp; LEFT($C38,3) &amp; RIGHT($C38,4)), "")</f>
        <v>43616</v>
      </c>
      <c r="Q38" s="35" t="str">
        <f t="array" ref="Q38">IF($R38&lt;&gt;"",IFERROR(INDEX(Investment!$A:$A,MATCH($R38,Investment!$H:$H,0))),)</f>
        <v>Long term US bonds (20-25 year)</v>
      </c>
      <c r="R38" s="36" t="str">
        <f t="array" ref="R38">IF(AND($Y38="change",$H38="EUR"),IF(AND($AA38="Crédit",$O38=$O39),$R39,IF(AND($AA38="Débit",$O38=$O37),$R37)),IF(OR(AND(OR($E38&lt;&gt;"",$M38=""),$N38&lt;&gt;0),$A38=""),IFERROR(INDEX(Investment!$H:$H,MATCH($E38,Investment!$F:$F,0))),IFERROR(INDEX($R39:$R1119,MATCH(SUBSTITUTE($I38,"-","",1),$K39:$K1119,0)),INDEX($R39:$R1119,MATCH($K38,$K39:$K1119,0)))))</f>
        <v>iShares Treasury Bond 20+ UCITS</v>
      </c>
      <c r="S38" s="35" t="str">
        <f t="shared" si="2"/>
        <v>COST</v>
      </c>
      <c r="T38" s="37" t="str">
        <f t="shared" si="3"/>
        <v/>
      </c>
      <c r="U38" s="38" t="str">
        <f t="shared" si="4"/>
        <v/>
      </c>
      <c r="V38" s="31">
        <f t="shared" si="5"/>
        <v>-3</v>
      </c>
      <c r="W38" s="39" t="str">
        <f>IFERROR(__xludf.DUMMYFUNCTION(" IF(Account!$F38&lt;&gt;"""", SPLIT(Account!$F38, "" ""), """")"),"Frais")</f>
        <v>Frais</v>
      </c>
      <c r="X38" s="54" t="str">
        <f>IFERROR(__xludf.DUMMYFUNCTION("""COMPUTED_VALUE"""),"de")</f>
        <v>de</v>
      </c>
      <c r="Y38" s="54" t="str">
        <f>IFERROR(__xludf.DUMMYFUNCTION("""COMPUTED_VALUE"""),"courtage")</f>
        <v>courtage</v>
      </c>
      <c r="Z38" s="54"/>
      <c r="AA38" s="54"/>
      <c r="AB38" s="54"/>
      <c r="AC38" s="54"/>
      <c r="AD38" s="54"/>
      <c r="AE38" s="54"/>
      <c r="AF38" s="54"/>
      <c r="AG38" s="54"/>
      <c r="AH38" s="54"/>
      <c r="AI38" s="54"/>
      <c r="AJ38" s="54"/>
      <c r="AK38" s="54"/>
    </row>
    <row r="39">
      <c r="A39" s="10" t="s">
        <v>194</v>
      </c>
      <c r="B39" s="10" t="s">
        <v>353</v>
      </c>
      <c r="C39" s="10" t="s">
        <v>194</v>
      </c>
      <c r="D39" s="10" t="s">
        <v>83</v>
      </c>
      <c r="E39" s="10" t="s">
        <v>84</v>
      </c>
      <c r="F39" s="12" t="s">
        <v>363</v>
      </c>
      <c r="G39" s="10"/>
      <c r="H39" s="10" t="s">
        <v>70</v>
      </c>
      <c r="I39" s="10" t="s">
        <v>365</v>
      </c>
      <c r="J39" s="10" t="s">
        <v>70</v>
      </c>
      <c r="K39" s="10" t="s">
        <v>367</v>
      </c>
      <c r="L39" s="12" t="s">
        <v>355</v>
      </c>
      <c r="M39" s="29">
        <f t="shared" si="1"/>
        <v>-1131</v>
      </c>
      <c r="N39" s="31">
        <f>IFERROR(__xludf.DUMMYFUNCTION("IF(Account!$F39&lt;&gt;"""", VALUE(REGEXREPLACE($I39, ""\,"", ""."")), """")"),5018.13)</f>
        <v>5018.13</v>
      </c>
      <c r="O39" s="33">
        <f>IF(Account!$F39&lt;&gt;"", DATEVALUE(MID($A39,4,3) &amp; LEFT($A39,3) &amp; RIGHT($A39,4)) + TIMEVALUE($B39), "")</f>
        <v>43616.45972</v>
      </c>
      <c r="P39" s="34">
        <f>IF(Account!$F39&lt;&gt;"", DATEVALUE(MID($C39,4,3) &amp; LEFT($C39,3) &amp; RIGHT($C39,4)), "")</f>
        <v>43616</v>
      </c>
      <c r="Q39" s="35" t="str">
        <f t="array" ref="Q39">IF($R39&lt;&gt;"",IFERROR(INDEX(Investment!$A:$A,MATCH($R39,Investment!$H:$H,0))),)</f>
        <v>Long term US bonds (20-25 year)</v>
      </c>
      <c r="R39" s="36" t="str">
        <f t="array" ref="R39">IF(AND($Y39="change",$H39="EUR"),IF(AND($AA39="Crédit",$O39=$O40),$R40,IF(AND($AA39="Débit",$O39=$O38),$R38)),IF(OR(AND(OR($E39&lt;&gt;"",$M39=""),$N39&lt;&gt;0),$A39=""),IFERROR(INDEX(Investment!$H:$H,MATCH($E39,Investment!$F:$F,0))),IFERROR(INDEX($R40:$R1119,MATCH(SUBSTITUTE($I39,"-","",1),$K40:$K1119,0)),INDEX($R40:$R1119,MATCH($K39,$K40:$K1119,0)))))</f>
        <v>iShares Treasury Bond 20+ UCITS</v>
      </c>
      <c r="S39" s="35" t="str">
        <f t="shared" si="2"/>
        <v>SELL</v>
      </c>
      <c r="T39" s="37">
        <f t="shared" si="3"/>
        <v>-1131</v>
      </c>
      <c r="U39" s="38">
        <f t="shared" si="4"/>
        <v>4.436896552</v>
      </c>
      <c r="V39" s="31">
        <f t="shared" si="5"/>
        <v>5018.13</v>
      </c>
      <c r="W39" s="39" t="str">
        <f>IFERROR(__xludf.DUMMYFUNCTION(" IF(Account!$F39&lt;&gt;"""", SPLIT(Account!$F39, "" ""), """")"),"Vente")</f>
        <v>Vente</v>
      </c>
      <c r="X39" s="54" t="str">
        <f>IFERROR(__xludf.DUMMYFUNCTION("""COMPUTED_VALUE"""),"1 131")</f>
        <v>1 131</v>
      </c>
      <c r="Y39" s="54" t="str">
        <f>IFERROR(__xludf.DUMMYFUNCTION("""COMPUTED_VALUE"""),"ISHSIV-DL")</f>
        <v>ISHSIV-DL</v>
      </c>
      <c r="Z39" s="54" t="str">
        <f>IFERROR(__xludf.DUMMYFUNCTION("""COMPUTED_VALUE"""),"T.BD20+YR")</f>
        <v>T.BD20+YR</v>
      </c>
      <c r="AA39" s="54" t="str">
        <f>IFERROR(__xludf.DUMMYFUNCTION("""COMPUTED_VALUE"""),"DL")</f>
        <v>DL</v>
      </c>
      <c r="AB39" s="54" t="str">
        <f>IFERROR(__xludf.DUMMYFUNCTION("""COMPUTED_VALUE"""),"D@4,4369")</f>
        <v>D@4,4369</v>
      </c>
      <c r="AC39" s="54" t="str">
        <f>IFERROR(__xludf.DUMMYFUNCTION("""COMPUTED_VALUE"""),"EUR")</f>
        <v>EUR</v>
      </c>
      <c r="AD39" s="54" t="str">
        <f>IFERROR(__xludf.DUMMYFUNCTION("""COMPUTED_VALUE"""),"(IE00BSKRJZ44)")</f>
        <v>(IE00BSKRJZ44)</v>
      </c>
      <c r="AE39" s="54"/>
      <c r="AF39" s="54"/>
      <c r="AG39" s="54"/>
      <c r="AH39" s="54"/>
      <c r="AI39" s="54"/>
      <c r="AJ39" s="54"/>
      <c r="AK39" s="54"/>
    </row>
    <row r="40">
      <c r="A40" s="10" t="s">
        <v>370</v>
      </c>
      <c r="B40" s="10" t="s">
        <v>371</v>
      </c>
      <c r="C40" s="10" t="s">
        <v>370</v>
      </c>
      <c r="D40" s="10" t="s">
        <v>83</v>
      </c>
      <c r="E40" s="10" t="s">
        <v>84</v>
      </c>
      <c r="F40" s="12" t="s">
        <v>222</v>
      </c>
      <c r="G40" s="10"/>
      <c r="H40" s="10" t="s">
        <v>70</v>
      </c>
      <c r="I40" s="10" t="s">
        <v>223</v>
      </c>
      <c r="J40" s="10" t="s">
        <v>70</v>
      </c>
      <c r="K40" s="10" t="s">
        <v>372</v>
      </c>
      <c r="L40" s="12" t="s">
        <v>373</v>
      </c>
      <c r="M40" s="29" t="str">
        <f t="shared" si="1"/>
        <v/>
      </c>
      <c r="N40" s="31">
        <f>IFERROR(__xludf.DUMMYFUNCTION("IF(Account!$F40&lt;&gt;"""", VALUE(REGEXREPLACE($I40, ""\,"", ""."")), """")"),-2.0)</f>
        <v>-2</v>
      </c>
      <c r="O40" s="33">
        <f>IF(Account!$F40&lt;&gt;"", DATEVALUE(MID($A40,4,3) &amp; LEFT($A40,3) &amp; RIGHT($A40,4)) + TIMEVALUE($B40), "")</f>
        <v>43614.46389</v>
      </c>
      <c r="P40" s="34">
        <f>IF(Account!$F40&lt;&gt;"", DATEVALUE(MID($C40,4,3) &amp; LEFT($C40,3) &amp; RIGHT($C40,4)), "")</f>
        <v>43614</v>
      </c>
      <c r="Q40" s="35" t="str">
        <f t="array" ref="Q40">IF($R40&lt;&gt;"",IFERROR(INDEX(Investment!$A:$A,MATCH($R40,Investment!$H:$H,0))),)</f>
        <v>Long term US bonds (20-25 year)</v>
      </c>
      <c r="R40" s="36" t="str">
        <f t="array" ref="R40">IF(AND($Y40="change",$H40="EUR"),IF(AND($AA40="Crédit",$O40=$O41),$R41,IF(AND($AA40="Débit",$O40=$O39),$R39)),IF(OR(AND(OR($E40&lt;&gt;"",$M40=""),$N40&lt;&gt;0),$A40=""),IFERROR(INDEX(Investment!$H:$H,MATCH($E40,Investment!$F:$F,0))),IFERROR(INDEX($R41:$R1119,MATCH(SUBSTITUTE($I40,"-","",1),$K41:$K1119,0)),INDEX($R41:$R1119,MATCH($K40,$K41:$K1119,0)))))</f>
        <v>iShares Treasury Bond 20+ UCITS</v>
      </c>
      <c r="S40" s="35" t="str">
        <f t="shared" si="2"/>
        <v>COST</v>
      </c>
      <c r="T40" s="37" t="str">
        <f t="shared" si="3"/>
        <v/>
      </c>
      <c r="U40" s="38" t="str">
        <f t="shared" si="4"/>
        <v/>
      </c>
      <c r="V40" s="31">
        <f t="shared" si="5"/>
        <v>-2.89</v>
      </c>
      <c r="W40" s="39" t="str">
        <f>IFERROR(__xludf.DUMMYFUNCTION(" IF(Account!$F40&lt;&gt;"""", SPLIT(Account!$F40, "" ""), """")"),"Frais")</f>
        <v>Frais</v>
      </c>
      <c r="X40" s="54" t="str">
        <f>IFERROR(__xludf.DUMMYFUNCTION("""COMPUTED_VALUE"""),"de")</f>
        <v>de</v>
      </c>
      <c r="Y40" s="54" t="str">
        <f>IFERROR(__xludf.DUMMYFUNCTION("""COMPUTED_VALUE"""),"courtage")</f>
        <v>courtage</v>
      </c>
      <c r="Z40" s="54"/>
      <c r="AA40" s="54"/>
      <c r="AB40" s="54"/>
      <c r="AC40" s="54"/>
      <c r="AD40" s="54"/>
      <c r="AE40" s="54"/>
      <c r="AF40" s="54"/>
      <c r="AG40" s="54"/>
      <c r="AH40" s="54"/>
      <c r="AI40" s="54"/>
      <c r="AJ40" s="54"/>
      <c r="AK40" s="54"/>
    </row>
    <row r="41">
      <c r="A41" s="10" t="s">
        <v>370</v>
      </c>
      <c r="B41" s="10" t="s">
        <v>371</v>
      </c>
      <c r="C41" s="10" t="s">
        <v>370</v>
      </c>
      <c r="D41" s="10" t="s">
        <v>83</v>
      </c>
      <c r="E41" s="10" t="s">
        <v>84</v>
      </c>
      <c r="F41" s="12" t="s">
        <v>222</v>
      </c>
      <c r="G41" s="10"/>
      <c r="H41" s="10" t="s">
        <v>70</v>
      </c>
      <c r="I41" s="10" t="s">
        <v>376</v>
      </c>
      <c r="J41" s="10" t="s">
        <v>70</v>
      </c>
      <c r="K41" s="10" t="s">
        <v>377</v>
      </c>
      <c r="L41" s="12" t="s">
        <v>373</v>
      </c>
      <c r="M41" s="29" t="str">
        <f t="shared" si="1"/>
        <v/>
      </c>
      <c r="N41" s="31">
        <f>IFERROR(__xludf.DUMMYFUNCTION("IF(Account!$F41&lt;&gt;"""", VALUE(REGEXREPLACE($I41, ""\,"", ""."")), """")"),-0.89)</f>
        <v>-0.89</v>
      </c>
      <c r="O41" s="33">
        <f>IF(Account!$F41&lt;&gt;"", DATEVALUE(MID($A41,4,3) &amp; LEFT($A41,3) &amp; RIGHT($A41,4)) + TIMEVALUE($B41), "")</f>
        <v>43614.46389</v>
      </c>
      <c r="P41" s="34">
        <f>IF(Account!$F41&lt;&gt;"", DATEVALUE(MID($C41,4,3) &amp; LEFT($C41,3) &amp; RIGHT($C41,4)), "")</f>
        <v>43614</v>
      </c>
      <c r="Q41" s="35" t="str">
        <f t="array" ref="Q41">IF($R41&lt;&gt;"",IFERROR(INDEX(Investment!$A:$A,MATCH($R41,Investment!$H:$H,0))),)</f>
        <v>Long term US bonds (20-25 year)</v>
      </c>
      <c r="R41" s="36" t="str">
        <f t="array" ref="R41">IF(AND($Y41="change",$H41="EUR"),IF(AND($AA41="Crédit",$O41=$O42),$R42,IF(AND($AA41="Débit",$O41=$O40),$R40)),IF(OR(AND(OR($E41&lt;&gt;"",$M41=""),$N41&lt;&gt;0),$A41=""),IFERROR(INDEX(Investment!$H:$H,MATCH($E41,Investment!$F:$F,0))),IFERROR(INDEX($R42:$R1119,MATCH(SUBSTITUTE($I41,"-","",1),$K42:$K1119,0)),INDEX($R42:$R1119,MATCH($K41,$K42:$K1119,0)))))</f>
        <v>iShares Treasury Bond 20+ UCITS</v>
      </c>
      <c r="S41" s="35" t="str">
        <f t="shared" si="2"/>
        <v>COST</v>
      </c>
      <c r="T41" s="37" t="str">
        <f t="shared" si="3"/>
        <v/>
      </c>
      <c r="U41" s="38" t="str">
        <f t="shared" si="4"/>
        <v/>
      </c>
      <c r="V41" s="31">
        <f t="shared" si="5"/>
        <v>-2.89</v>
      </c>
      <c r="W41" s="39" t="str">
        <f>IFERROR(__xludf.DUMMYFUNCTION(" IF(Account!$F41&lt;&gt;"""", SPLIT(Account!$F41, "" ""), """")"),"Frais")</f>
        <v>Frais</v>
      </c>
      <c r="X41" s="54" t="str">
        <f>IFERROR(__xludf.DUMMYFUNCTION("""COMPUTED_VALUE"""),"de")</f>
        <v>de</v>
      </c>
      <c r="Y41" s="54" t="str">
        <f>IFERROR(__xludf.DUMMYFUNCTION("""COMPUTED_VALUE"""),"courtage")</f>
        <v>courtage</v>
      </c>
      <c r="Z41" s="54"/>
      <c r="AA41" s="54"/>
      <c r="AB41" s="54"/>
      <c r="AC41" s="54"/>
      <c r="AD41" s="54"/>
      <c r="AE41" s="54"/>
      <c r="AF41" s="54"/>
      <c r="AG41" s="54"/>
      <c r="AH41" s="54"/>
      <c r="AI41" s="54"/>
      <c r="AJ41" s="54"/>
      <c r="AK41" s="54"/>
    </row>
    <row r="42">
      <c r="A42" s="10" t="s">
        <v>370</v>
      </c>
      <c r="B42" s="10" t="s">
        <v>371</v>
      </c>
      <c r="C42" s="10" t="s">
        <v>370</v>
      </c>
      <c r="D42" s="10" t="s">
        <v>83</v>
      </c>
      <c r="E42" s="10" t="s">
        <v>84</v>
      </c>
      <c r="F42" s="12" t="s">
        <v>382</v>
      </c>
      <c r="G42" s="10"/>
      <c r="H42" s="10" t="s">
        <v>70</v>
      </c>
      <c r="I42" s="10" t="s">
        <v>383</v>
      </c>
      <c r="J42" s="10" t="s">
        <v>70</v>
      </c>
      <c r="K42" s="10" t="s">
        <v>384</v>
      </c>
      <c r="L42" s="12" t="s">
        <v>373</v>
      </c>
      <c r="M42" s="29">
        <f t="shared" si="1"/>
        <v>-1016</v>
      </c>
      <c r="N42" s="31">
        <f>IFERROR(__xludf.DUMMYFUNCTION("IF(Account!$F42&lt;&gt;"""", VALUE(REGEXREPLACE($I42, ""\,"", ""."")), """")"),4446.32)</f>
        <v>4446.32</v>
      </c>
      <c r="O42" s="33">
        <f>IF(Account!$F42&lt;&gt;"", DATEVALUE(MID($A42,4,3) &amp; LEFT($A42,3) &amp; RIGHT($A42,4)) + TIMEVALUE($B42), "")</f>
        <v>43614.46389</v>
      </c>
      <c r="P42" s="34">
        <f>IF(Account!$F42&lt;&gt;"", DATEVALUE(MID($C42,4,3) &amp; LEFT($C42,3) &amp; RIGHT($C42,4)), "")</f>
        <v>43614</v>
      </c>
      <c r="Q42" s="35" t="str">
        <f t="array" ref="Q42">IF($R42&lt;&gt;"",IFERROR(INDEX(Investment!$A:$A,MATCH($R42,Investment!$H:$H,0))),)</f>
        <v>Long term US bonds (20-25 year)</v>
      </c>
      <c r="R42" s="36" t="str">
        <f t="array" ref="R42">IF(AND($Y42="change",$H42="EUR"),IF(AND($AA42="Crédit",$O42=$O43),$R43,IF(AND($AA42="Débit",$O42=$O41),$R41)),IF(OR(AND(OR($E42&lt;&gt;"",$M42=""),$N42&lt;&gt;0),$A42=""),IFERROR(INDEX(Investment!$H:$H,MATCH($E42,Investment!$F:$F,0))),IFERROR(INDEX($R43:$R1119,MATCH(SUBSTITUTE($I42,"-","",1),$K43:$K1119,0)),INDEX($R43:$R1119,MATCH($K42,$K43:$K1119,0)))))</f>
        <v>iShares Treasury Bond 20+ UCITS</v>
      </c>
      <c r="S42" s="35" t="str">
        <f t="shared" si="2"/>
        <v>SELL</v>
      </c>
      <c r="T42" s="37">
        <f t="shared" si="3"/>
        <v>-1016</v>
      </c>
      <c r="U42" s="38">
        <f t="shared" si="4"/>
        <v>4.376299213</v>
      </c>
      <c r="V42" s="31">
        <f t="shared" si="5"/>
        <v>4446.32</v>
      </c>
      <c r="W42" s="39" t="str">
        <f>IFERROR(__xludf.DUMMYFUNCTION(" IF(Account!$F42&lt;&gt;"""", SPLIT(Account!$F42, "" ""), """")"),"Vente")</f>
        <v>Vente</v>
      </c>
      <c r="X42" s="54" t="str">
        <f>IFERROR(__xludf.DUMMYFUNCTION("""COMPUTED_VALUE"""),"1 016")</f>
        <v>1 016</v>
      </c>
      <c r="Y42" s="54" t="str">
        <f>IFERROR(__xludf.DUMMYFUNCTION("""COMPUTED_VALUE"""),"ISHSIV-DL")</f>
        <v>ISHSIV-DL</v>
      </c>
      <c r="Z42" s="54" t="str">
        <f>IFERROR(__xludf.DUMMYFUNCTION("""COMPUTED_VALUE"""),"T.BD20+YR")</f>
        <v>T.BD20+YR</v>
      </c>
      <c r="AA42" s="54" t="str">
        <f>IFERROR(__xludf.DUMMYFUNCTION("""COMPUTED_VALUE"""),"DL")</f>
        <v>DL</v>
      </c>
      <c r="AB42" s="54" t="str">
        <f>IFERROR(__xludf.DUMMYFUNCTION("""COMPUTED_VALUE"""),"D@4,3763")</f>
        <v>D@4,3763</v>
      </c>
      <c r="AC42" s="54" t="str">
        <f>IFERROR(__xludf.DUMMYFUNCTION("""COMPUTED_VALUE"""),"EUR")</f>
        <v>EUR</v>
      </c>
      <c r="AD42" s="54" t="str">
        <f>IFERROR(__xludf.DUMMYFUNCTION("""COMPUTED_VALUE"""),"(IE00BSKRJZ44)")</f>
        <v>(IE00BSKRJZ44)</v>
      </c>
      <c r="AE42" s="54"/>
      <c r="AF42" s="54"/>
      <c r="AG42" s="54"/>
      <c r="AH42" s="54"/>
      <c r="AI42" s="54"/>
      <c r="AJ42" s="54"/>
      <c r="AK42" s="54"/>
    </row>
    <row r="43">
      <c r="A43" s="10" t="s">
        <v>387</v>
      </c>
      <c r="B43" s="10" t="s">
        <v>388</v>
      </c>
      <c r="C43" s="10" t="s">
        <v>387</v>
      </c>
      <c r="D43" s="10" t="s">
        <v>83</v>
      </c>
      <c r="E43" s="10" t="s">
        <v>84</v>
      </c>
      <c r="F43" s="12" t="s">
        <v>222</v>
      </c>
      <c r="G43" s="10"/>
      <c r="H43" s="10" t="s">
        <v>70</v>
      </c>
      <c r="I43" s="10" t="s">
        <v>223</v>
      </c>
      <c r="J43" s="10" t="s">
        <v>70</v>
      </c>
      <c r="K43" s="10" t="s">
        <v>389</v>
      </c>
      <c r="L43" s="12" t="s">
        <v>390</v>
      </c>
      <c r="M43" s="29" t="str">
        <f t="shared" si="1"/>
        <v/>
      </c>
      <c r="N43" s="31">
        <f>IFERROR(__xludf.DUMMYFUNCTION("IF(Account!$F43&lt;&gt;"""", VALUE(REGEXREPLACE($I43, ""\,"", ""."")), """")"),-2.0)</f>
        <v>-2</v>
      </c>
      <c r="O43" s="33">
        <f>IF(Account!$F43&lt;&gt;"", DATEVALUE(MID($A43,4,3) &amp; LEFT($A43,3) &amp; RIGHT($A43,4)) + TIMEVALUE($B43), "")</f>
        <v>43613.44583</v>
      </c>
      <c r="P43" s="34">
        <f>IF(Account!$F43&lt;&gt;"", DATEVALUE(MID($C43,4,3) &amp; LEFT($C43,3) &amp; RIGHT($C43,4)), "")</f>
        <v>43613</v>
      </c>
      <c r="Q43" s="35" t="str">
        <f t="array" ref="Q43">IF($R43&lt;&gt;"",IFERROR(INDEX(Investment!$A:$A,MATCH($R43,Investment!$H:$H,0))),)</f>
        <v>Long term US bonds (20-25 year)</v>
      </c>
      <c r="R43" s="36" t="str">
        <f t="array" ref="R43">IF(AND($Y43="change",$H43="EUR"),IF(AND($AA43="Crédit",$O43=$O44),$R44,IF(AND($AA43="Débit",$O43=$O42),$R42)),IF(OR(AND(OR($E43&lt;&gt;"",$M43=""),$N43&lt;&gt;0),$A43=""),IFERROR(INDEX(Investment!$H:$H,MATCH($E43,Investment!$F:$F,0))),IFERROR(INDEX($R44:$R1119,MATCH(SUBSTITUTE($I43,"-","",1),$K44:$K1119,0)),INDEX($R44:$R1119,MATCH($K43,$K44:$K1119,0)))))</f>
        <v>iShares Treasury Bond 20+ UCITS</v>
      </c>
      <c r="S43" s="35" t="str">
        <f t="shared" si="2"/>
        <v>COST</v>
      </c>
      <c r="T43" s="37" t="str">
        <f t="shared" si="3"/>
        <v/>
      </c>
      <c r="U43" s="38" t="str">
        <f t="shared" si="4"/>
        <v/>
      </c>
      <c r="V43" s="31">
        <f t="shared" si="5"/>
        <v>-2.22</v>
      </c>
      <c r="W43" s="39" t="str">
        <f>IFERROR(__xludf.DUMMYFUNCTION(" IF(Account!$F43&lt;&gt;"""", SPLIT(Account!$F43, "" ""), """")"),"Frais")</f>
        <v>Frais</v>
      </c>
      <c r="X43" s="54" t="str">
        <f>IFERROR(__xludf.DUMMYFUNCTION("""COMPUTED_VALUE"""),"de")</f>
        <v>de</v>
      </c>
      <c r="Y43" s="54" t="str">
        <f>IFERROR(__xludf.DUMMYFUNCTION("""COMPUTED_VALUE"""),"courtage")</f>
        <v>courtage</v>
      </c>
      <c r="Z43" s="54"/>
      <c r="AA43" s="54"/>
      <c r="AB43" s="54"/>
      <c r="AC43" s="54"/>
      <c r="AD43" s="54"/>
      <c r="AE43" s="54"/>
      <c r="AF43" s="54"/>
      <c r="AG43" s="54"/>
      <c r="AH43" s="54"/>
      <c r="AI43" s="54"/>
      <c r="AJ43" s="54"/>
      <c r="AK43" s="54"/>
    </row>
    <row r="44">
      <c r="A44" s="10" t="s">
        <v>387</v>
      </c>
      <c r="B44" s="10" t="s">
        <v>388</v>
      </c>
      <c r="C44" s="10" t="s">
        <v>387</v>
      </c>
      <c r="D44" s="10" t="s">
        <v>83</v>
      </c>
      <c r="E44" s="10" t="s">
        <v>84</v>
      </c>
      <c r="F44" s="12" t="s">
        <v>222</v>
      </c>
      <c r="G44" s="10"/>
      <c r="H44" s="10" t="s">
        <v>70</v>
      </c>
      <c r="I44" s="10" t="s">
        <v>392</v>
      </c>
      <c r="J44" s="10" t="s">
        <v>70</v>
      </c>
      <c r="K44" s="10" t="s">
        <v>393</v>
      </c>
      <c r="L44" s="12" t="s">
        <v>390</v>
      </c>
      <c r="M44" s="29" t="str">
        <f t="shared" si="1"/>
        <v/>
      </c>
      <c r="N44" s="31">
        <f>IFERROR(__xludf.DUMMYFUNCTION("IF(Account!$F44&lt;&gt;"""", VALUE(REGEXREPLACE($I44, ""\,"", ""."")), """")"),-0.22)</f>
        <v>-0.22</v>
      </c>
      <c r="O44" s="33">
        <f>IF(Account!$F44&lt;&gt;"", DATEVALUE(MID($A44,4,3) &amp; LEFT($A44,3) &amp; RIGHT($A44,4)) + TIMEVALUE($B44), "")</f>
        <v>43613.44583</v>
      </c>
      <c r="P44" s="34">
        <f>IF(Account!$F44&lt;&gt;"", DATEVALUE(MID($C44,4,3) &amp; LEFT($C44,3) &amp; RIGHT($C44,4)), "")</f>
        <v>43613</v>
      </c>
      <c r="Q44" s="35" t="str">
        <f t="array" ref="Q44">IF($R44&lt;&gt;"",IFERROR(INDEX(Investment!$A:$A,MATCH($R44,Investment!$H:$H,0))),)</f>
        <v>Long term US bonds (20-25 year)</v>
      </c>
      <c r="R44" s="36" t="str">
        <f t="array" ref="R44">IF(AND($Y44="change",$H44="EUR"),IF(AND($AA44="Crédit",$O44=$O45),$R45,IF(AND($AA44="Débit",$O44=$O43),$R43)),IF(OR(AND(OR($E44&lt;&gt;"",$M44=""),$N44&lt;&gt;0),$A44=""),IFERROR(INDEX(Investment!$H:$H,MATCH($E44,Investment!$F:$F,0))),IFERROR(INDEX($R45:$R1119,MATCH(SUBSTITUTE($I44,"-","",1),$K45:$K1119,0)),INDEX($R45:$R1119,MATCH($K44,$K45:$K1119,0)))))</f>
        <v>iShares Treasury Bond 20+ UCITS</v>
      </c>
      <c r="S44" s="35" t="str">
        <f t="shared" si="2"/>
        <v>COST</v>
      </c>
      <c r="T44" s="37" t="str">
        <f t="shared" si="3"/>
        <v/>
      </c>
      <c r="U44" s="38" t="str">
        <f t="shared" si="4"/>
        <v/>
      </c>
      <c r="V44" s="31">
        <f t="shared" si="5"/>
        <v>-2.22</v>
      </c>
      <c r="W44" s="39" t="str">
        <f>IFERROR(__xludf.DUMMYFUNCTION(" IF(Account!$F44&lt;&gt;"""", SPLIT(Account!$F44, "" ""), """")"),"Frais")</f>
        <v>Frais</v>
      </c>
      <c r="X44" s="54" t="str">
        <f>IFERROR(__xludf.DUMMYFUNCTION("""COMPUTED_VALUE"""),"de")</f>
        <v>de</v>
      </c>
      <c r="Y44" s="54" t="str">
        <f>IFERROR(__xludf.DUMMYFUNCTION("""COMPUTED_VALUE"""),"courtage")</f>
        <v>courtage</v>
      </c>
      <c r="Z44" s="54"/>
      <c r="AA44" s="54"/>
      <c r="AB44" s="54"/>
      <c r="AC44" s="54"/>
      <c r="AD44" s="54"/>
      <c r="AE44" s="54"/>
      <c r="AF44" s="54"/>
      <c r="AG44" s="54"/>
      <c r="AH44" s="54"/>
      <c r="AI44" s="54"/>
      <c r="AJ44" s="54"/>
      <c r="AK44" s="54"/>
    </row>
    <row r="45">
      <c r="A45" s="10" t="s">
        <v>387</v>
      </c>
      <c r="B45" s="10" t="s">
        <v>388</v>
      </c>
      <c r="C45" s="10" t="s">
        <v>387</v>
      </c>
      <c r="D45" s="10" t="s">
        <v>83</v>
      </c>
      <c r="E45" s="10" t="s">
        <v>84</v>
      </c>
      <c r="F45" s="12" t="s">
        <v>398</v>
      </c>
      <c r="G45" s="10"/>
      <c r="H45" s="10" t="s">
        <v>70</v>
      </c>
      <c r="I45" s="10" t="s">
        <v>399</v>
      </c>
      <c r="J45" s="10" t="s">
        <v>70</v>
      </c>
      <c r="K45" s="10" t="s">
        <v>400</v>
      </c>
      <c r="L45" s="12" t="s">
        <v>390</v>
      </c>
      <c r="M45" s="29">
        <f t="shared" si="1"/>
        <v>-258</v>
      </c>
      <c r="N45" s="31">
        <f>IFERROR(__xludf.DUMMYFUNCTION("IF(Account!$F45&lt;&gt;"""", VALUE(REGEXREPLACE($I45, ""\,"", ""."")), """")"),1118.4)</f>
        <v>1118.4</v>
      </c>
      <c r="O45" s="33">
        <f>IF(Account!$F45&lt;&gt;"", DATEVALUE(MID($A45,4,3) &amp; LEFT($A45,3) &amp; RIGHT($A45,4)) + TIMEVALUE($B45), "")</f>
        <v>43613.44583</v>
      </c>
      <c r="P45" s="34">
        <f>IF(Account!$F45&lt;&gt;"", DATEVALUE(MID($C45,4,3) &amp; LEFT($C45,3) &amp; RIGHT($C45,4)), "")</f>
        <v>43613</v>
      </c>
      <c r="Q45" s="35" t="str">
        <f t="array" ref="Q45">IF($R45&lt;&gt;"",IFERROR(INDEX(Investment!$A:$A,MATCH($R45,Investment!$H:$H,0))),)</f>
        <v>Long term US bonds (20-25 year)</v>
      </c>
      <c r="R45" s="36" t="str">
        <f t="array" ref="R45">IF(AND($Y45="change",$H45="EUR"),IF(AND($AA45="Crédit",$O45=$O46),$R46,IF(AND($AA45="Débit",$O45=$O44),$R44)),IF(OR(AND(OR($E45&lt;&gt;"",$M45=""),$N45&lt;&gt;0),$A45=""),IFERROR(INDEX(Investment!$H:$H,MATCH($E45,Investment!$F:$F,0))),IFERROR(INDEX($R46:$R1119,MATCH(SUBSTITUTE($I45,"-","",1),$K46:$K1119,0)),INDEX($R46:$R1119,MATCH($K45,$K46:$K1119,0)))))</f>
        <v>iShares Treasury Bond 20+ UCITS</v>
      </c>
      <c r="S45" s="35" t="str">
        <f t="shared" si="2"/>
        <v>SELL</v>
      </c>
      <c r="T45" s="37">
        <f t="shared" si="3"/>
        <v>-258</v>
      </c>
      <c r="U45" s="38">
        <f t="shared" si="4"/>
        <v>4.334883721</v>
      </c>
      <c r="V45" s="31">
        <f t="shared" si="5"/>
        <v>1118.4</v>
      </c>
      <c r="W45" s="39" t="str">
        <f>IFERROR(__xludf.DUMMYFUNCTION(" IF(Account!$F45&lt;&gt;"""", SPLIT(Account!$F45, "" ""), """")"),"Vente")</f>
        <v>Vente</v>
      </c>
      <c r="X45" s="54">
        <f>IFERROR(__xludf.DUMMYFUNCTION("""COMPUTED_VALUE"""),258.0)</f>
        <v>258</v>
      </c>
      <c r="Y45" s="54" t="str">
        <f>IFERROR(__xludf.DUMMYFUNCTION("""COMPUTED_VALUE"""),"ISHSIV-DL")</f>
        <v>ISHSIV-DL</v>
      </c>
      <c r="Z45" s="54" t="str">
        <f>IFERROR(__xludf.DUMMYFUNCTION("""COMPUTED_VALUE"""),"T.BD20+YR")</f>
        <v>T.BD20+YR</v>
      </c>
      <c r="AA45" s="54" t="str">
        <f>IFERROR(__xludf.DUMMYFUNCTION("""COMPUTED_VALUE"""),"DL")</f>
        <v>DL</v>
      </c>
      <c r="AB45" s="54" t="str">
        <f>IFERROR(__xludf.DUMMYFUNCTION("""COMPUTED_VALUE"""),"D@4,3349")</f>
        <v>D@4,3349</v>
      </c>
      <c r="AC45" s="54" t="str">
        <f>IFERROR(__xludf.DUMMYFUNCTION("""COMPUTED_VALUE"""),"EUR")</f>
        <v>EUR</v>
      </c>
      <c r="AD45" s="54" t="str">
        <f>IFERROR(__xludf.DUMMYFUNCTION("""COMPUTED_VALUE"""),"(IE00BSKRJZ44)")</f>
        <v>(IE00BSKRJZ44)</v>
      </c>
      <c r="AE45" s="54"/>
      <c r="AF45" s="54"/>
      <c r="AG45" s="54"/>
      <c r="AH45" s="54"/>
      <c r="AI45" s="54"/>
      <c r="AJ45" s="54"/>
      <c r="AK45" s="54"/>
    </row>
    <row r="46">
      <c r="A46" s="10" t="s">
        <v>402</v>
      </c>
      <c r="B46" s="10" t="s">
        <v>403</v>
      </c>
      <c r="C46" s="10" t="s">
        <v>402</v>
      </c>
      <c r="D46" s="10" t="s">
        <v>83</v>
      </c>
      <c r="E46" s="10" t="s">
        <v>84</v>
      </c>
      <c r="F46" s="12" t="s">
        <v>222</v>
      </c>
      <c r="G46" s="10"/>
      <c r="H46" s="10" t="s">
        <v>70</v>
      </c>
      <c r="I46" s="10" t="s">
        <v>223</v>
      </c>
      <c r="J46" s="10" t="s">
        <v>70</v>
      </c>
      <c r="K46" s="10" t="s">
        <v>404</v>
      </c>
      <c r="L46" s="12" t="s">
        <v>405</v>
      </c>
      <c r="M46" s="29" t="str">
        <f t="shared" si="1"/>
        <v/>
      </c>
      <c r="N46" s="31">
        <f>IFERROR(__xludf.DUMMYFUNCTION("IF(Account!$F46&lt;&gt;"""", VALUE(REGEXREPLACE($I46, ""\,"", ""."")), """")"),-2.0)</f>
        <v>-2</v>
      </c>
      <c r="O46" s="33">
        <f>IF(Account!$F46&lt;&gt;"", DATEVALUE(MID($A46,4,3) &amp; LEFT($A46,3) &amp; RIGHT($A46,4)) + TIMEVALUE($B46), "")</f>
        <v>43609.73333</v>
      </c>
      <c r="P46" s="34">
        <f>IF(Account!$F46&lt;&gt;"", DATEVALUE(MID($C46,4,3) &amp; LEFT($C46,3) &amp; RIGHT($C46,4)), "")</f>
        <v>43609</v>
      </c>
      <c r="Q46" s="35" t="str">
        <f t="array" ref="Q46">IF($R46&lt;&gt;"",IFERROR(INDEX(Investment!$A:$A,MATCH($R46,Investment!$H:$H,0))),)</f>
        <v>Long term US bonds (20-25 year)</v>
      </c>
      <c r="R46" s="36" t="str">
        <f t="array" ref="R46">IF(AND($Y46="change",$H46="EUR"),IF(AND($AA46="Crédit",$O46=$O47),$R47,IF(AND($AA46="Débit",$O46=$O45),$R45)),IF(OR(AND(OR($E46&lt;&gt;"",$M46=""),$N46&lt;&gt;0),$A46=""),IFERROR(INDEX(Investment!$H:$H,MATCH($E46,Investment!$F:$F,0))),IFERROR(INDEX($R47:$R1119,MATCH(SUBSTITUTE($I46,"-","",1),$K47:$K1119,0)),INDEX($R47:$R1119,MATCH($K46,$K47:$K1119,0)))))</f>
        <v>iShares Treasury Bond 20+ UCITS</v>
      </c>
      <c r="S46" s="35" t="str">
        <f t="shared" si="2"/>
        <v>COST</v>
      </c>
      <c r="T46" s="37" t="str">
        <f t="shared" si="3"/>
        <v/>
      </c>
      <c r="U46" s="38" t="str">
        <f t="shared" si="4"/>
        <v/>
      </c>
      <c r="V46" s="31">
        <f t="shared" si="5"/>
        <v>-2.21</v>
      </c>
      <c r="W46" s="39" t="str">
        <f>IFERROR(__xludf.DUMMYFUNCTION(" IF(Account!$F46&lt;&gt;"""", SPLIT(Account!$F46, "" ""), """")"),"Frais")</f>
        <v>Frais</v>
      </c>
      <c r="X46" s="54" t="str">
        <f>IFERROR(__xludf.DUMMYFUNCTION("""COMPUTED_VALUE"""),"de")</f>
        <v>de</v>
      </c>
      <c r="Y46" s="54" t="str">
        <f>IFERROR(__xludf.DUMMYFUNCTION("""COMPUTED_VALUE"""),"courtage")</f>
        <v>courtage</v>
      </c>
      <c r="Z46" s="54"/>
      <c r="AA46" s="54"/>
      <c r="AB46" s="54"/>
      <c r="AC46" s="54"/>
      <c r="AD46" s="54"/>
      <c r="AE46" s="54"/>
      <c r="AF46" s="54"/>
      <c r="AG46" s="54"/>
      <c r="AH46" s="54"/>
      <c r="AI46" s="54"/>
      <c r="AJ46" s="54"/>
      <c r="AK46" s="54"/>
    </row>
    <row r="47">
      <c r="A47" s="10" t="s">
        <v>402</v>
      </c>
      <c r="B47" s="10" t="s">
        <v>403</v>
      </c>
      <c r="C47" s="10" t="s">
        <v>402</v>
      </c>
      <c r="D47" s="10" t="s">
        <v>83</v>
      </c>
      <c r="E47" s="10" t="s">
        <v>84</v>
      </c>
      <c r="F47" s="12" t="s">
        <v>222</v>
      </c>
      <c r="G47" s="10"/>
      <c r="H47" s="10" t="s">
        <v>70</v>
      </c>
      <c r="I47" s="10" t="s">
        <v>408</v>
      </c>
      <c r="J47" s="10" t="s">
        <v>70</v>
      </c>
      <c r="K47" s="10" t="s">
        <v>409</v>
      </c>
      <c r="L47" s="12" t="s">
        <v>405</v>
      </c>
      <c r="M47" s="29" t="str">
        <f t="shared" si="1"/>
        <v/>
      </c>
      <c r="N47" s="31">
        <f>IFERROR(__xludf.DUMMYFUNCTION("IF(Account!$F47&lt;&gt;"""", VALUE(REGEXREPLACE($I47, ""\,"", ""."")), """")"),-0.21)</f>
        <v>-0.21</v>
      </c>
      <c r="O47" s="33">
        <f>IF(Account!$F47&lt;&gt;"", DATEVALUE(MID($A47,4,3) &amp; LEFT($A47,3) &amp; RIGHT($A47,4)) + TIMEVALUE($B47), "")</f>
        <v>43609.73333</v>
      </c>
      <c r="P47" s="34">
        <f>IF(Account!$F47&lt;&gt;"", DATEVALUE(MID($C47,4,3) &amp; LEFT($C47,3) &amp; RIGHT($C47,4)), "")</f>
        <v>43609</v>
      </c>
      <c r="Q47" s="35" t="str">
        <f t="array" ref="Q47">IF($R47&lt;&gt;"",IFERROR(INDEX(Investment!$A:$A,MATCH($R47,Investment!$H:$H,0))),)</f>
        <v>Long term US bonds (20-25 year)</v>
      </c>
      <c r="R47" s="36" t="str">
        <f t="array" ref="R47">IF(AND($Y47="change",$H47="EUR"),IF(AND($AA47="Crédit",$O47=$O48),$R48,IF(AND($AA47="Débit",$O47=$O46),$R46)),IF(OR(AND(OR($E47&lt;&gt;"",$M47=""),$N47&lt;&gt;0),$A47=""),IFERROR(INDEX(Investment!$H:$H,MATCH($E47,Investment!$F:$F,0))),IFERROR(INDEX($R48:$R1119,MATCH(SUBSTITUTE($I47,"-","",1),$K48:$K1119,0)),INDEX($R48:$R1119,MATCH($K47,$K48:$K1119,0)))))</f>
        <v>iShares Treasury Bond 20+ UCITS</v>
      </c>
      <c r="S47" s="35" t="str">
        <f t="shared" si="2"/>
        <v>COST</v>
      </c>
      <c r="T47" s="37" t="str">
        <f t="shared" si="3"/>
        <v/>
      </c>
      <c r="U47" s="38" t="str">
        <f t="shared" si="4"/>
        <v/>
      </c>
      <c r="V47" s="31">
        <f t="shared" si="5"/>
        <v>-2.21</v>
      </c>
      <c r="W47" s="39" t="str">
        <f>IFERROR(__xludf.DUMMYFUNCTION(" IF(Account!$F47&lt;&gt;"""", SPLIT(Account!$F47, "" ""), """")"),"Frais")</f>
        <v>Frais</v>
      </c>
      <c r="X47" s="54" t="str">
        <f>IFERROR(__xludf.DUMMYFUNCTION("""COMPUTED_VALUE"""),"de")</f>
        <v>de</v>
      </c>
      <c r="Y47" s="54" t="str">
        <f>IFERROR(__xludf.DUMMYFUNCTION("""COMPUTED_VALUE"""),"courtage")</f>
        <v>courtage</v>
      </c>
      <c r="Z47" s="54"/>
      <c r="AA47" s="54"/>
      <c r="AB47" s="54"/>
      <c r="AC47" s="54"/>
      <c r="AD47" s="54"/>
      <c r="AE47" s="54"/>
      <c r="AF47" s="54"/>
      <c r="AG47" s="54"/>
      <c r="AH47" s="54"/>
      <c r="AI47" s="54"/>
      <c r="AJ47" s="54"/>
      <c r="AK47" s="54"/>
    </row>
    <row r="48">
      <c r="A48" s="10" t="s">
        <v>402</v>
      </c>
      <c r="B48" s="10" t="s">
        <v>403</v>
      </c>
      <c r="C48" s="10" t="s">
        <v>402</v>
      </c>
      <c r="D48" s="10" t="s">
        <v>83</v>
      </c>
      <c r="E48" s="10" t="s">
        <v>84</v>
      </c>
      <c r="F48" s="12" t="s">
        <v>411</v>
      </c>
      <c r="G48" s="10"/>
      <c r="H48" s="10" t="s">
        <v>70</v>
      </c>
      <c r="I48" s="10" t="s">
        <v>412</v>
      </c>
      <c r="J48" s="10" t="s">
        <v>70</v>
      </c>
      <c r="K48" s="10" t="s">
        <v>413</v>
      </c>
      <c r="L48" s="12" t="s">
        <v>405</v>
      </c>
      <c r="M48" s="29">
        <f t="shared" si="1"/>
        <v>-249</v>
      </c>
      <c r="N48" s="31">
        <f>IFERROR(__xludf.DUMMYFUNCTION("IF(Account!$F48&lt;&gt;"""", VALUE(REGEXREPLACE($I48, ""\,"", ""."")), """")"),1069.53)</f>
        <v>1069.53</v>
      </c>
      <c r="O48" s="33">
        <f>IF(Account!$F48&lt;&gt;"", DATEVALUE(MID($A48,4,3) &amp; LEFT($A48,3) &amp; RIGHT($A48,4)) + TIMEVALUE($B48), "")</f>
        <v>43609.73333</v>
      </c>
      <c r="P48" s="34">
        <f>IF(Account!$F48&lt;&gt;"", DATEVALUE(MID($C48,4,3) &amp; LEFT($C48,3) &amp; RIGHT($C48,4)), "")</f>
        <v>43609</v>
      </c>
      <c r="Q48" s="35" t="str">
        <f t="array" ref="Q48">IF($R48&lt;&gt;"",IFERROR(INDEX(Investment!$A:$A,MATCH($R48,Investment!$H:$H,0))),)</f>
        <v>Long term US bonds (20-25 year)</v>
      </c>
      <c r="R48" s="36" t="str">
        <f t="array" ref="R48">IF(AND($Y48="change",$H48="EUR"),IF(AND($AA48="Crédit",$O48=$O49),$R49,IF(AND($AA48="Débit",$O48=$O47),$R47)),IF(OR(AND(OR($E48&lt;&gt;"",$M48=""),$N48&lt;&gt;0),$A48=""),IFERROR(INDEX(Investment!$H:$H,MATCH($E48,Investment!$F:$F,0))),IFERROR(INDEX($R49:$R1119,MATCH(SUBSTITUTE($I48,"-","",1),$K49:$K1119,0)),INDEX($R49:$R1119,MATCH($K48,$K49:$K1119,0)))))</f>
        <v>iShares Treasury Bond 20+ UCITS</v>
      </c>
      <c r="S48" s="35" t="str">
        <f t="shared" si="2"/>
        <v>SELL</v>
      </c>
      <c r="T48" s="37">
        <f t="shared" si="3"/>
        <v>-249</v>
      </c>
      <c r="U48" s="38">
        <f t="shared" si="4"/>
        <v>4.295301205</v>
      </c>
      <c r="V48" s="31">
        <f t="shared" si="5"/>
        <v>1069.53</v>
      </c>
      <c r="W48" s="39" t="str">
        <f>IFERROR(__xludf.DUMMYFUNCTION(" IF(Account!$F48&lt;&gt;"""", SPLIT(Account!$F48, "" ""), """")"),"Vente")</f>
        <v>Vente</v>
      </c>
      <c r="X48" s="54">
        <f>IFERROR(__xludf.DUMMYFUNCTION("""COMPUTED_VALUE"""),249.0)</f>
        <v>249</v>
      </c>
      <c r="Y48" s="54" t="str">
        <f>IFERROR(__xludf.DUMMYFUNCTION("""COMPUTED_VALUE"""),"ISHSIV-DL")</f>
        <v>ISHSIV-DL</v>
      </c>
      <c r="Z48" s="54" t="str">
        <f>IFERROR(__xludf.DUMMYFUNCTION("""COMPUTED_VALUE"""),"T.BD20+YR")</f>
        <v>T.BD20+YR</v>
      </c>
      <c r="AA48" s="54" t="str">
        <f>IFERROR(__xludf.DUMMYFUNCTION("""COMPUTED_VALUE"""),"DL")</f>
        <v>DL</v>
      </c>
      <c r="AB48" s="54" t="str">
        <f>IFERROR(__xludf.DUMMYFUNCTION("""COMPUTED_VALUE"""),"D@4,2953")</f>
        <v>D@4,2953</v>
      </c>
      <c r="AC48" s="54" t="str">
        <f>IFERROR(__xludf.DUMMYFUNCTION("""COMPUTED_VALUE"""),"EUR")</f>
        <v>EUR</v>
      </c>
      <c r="AD48" s="54" t="str">
        <f>IFERROR(__xludf.DUMMYFUNCTION("""COMPUTED_VALUE"""),"(IE00BSKRJZ44)")</f>
        <v>(IE00BSKRJZ44)</v>
      </c>
      <c r="AE48" s="54"/>
      <c r="AF48" s="54"/>
      <c r="AG48" s="54"/>
      <c r="AH48" s="54"/>
      <c r="AI48" s="54"/>
      <c r="AJ48" s="54"/>
      <c r="AK48" s="54"/>
    </row>
    <row r="49">
      <c r="A49" s="10" t="s">
        <v>416</v>
      </c>
      <c r="B49" s="10" t="s">
        <v>417</v>
      </c>
      <c r="C49" s="10" t="s">
        <v>416</v>
      </c>
      <c r="D49" s="10" t="s">
        <v>83</v>
      </c>
      <c r="E49" s="10" t="s">
        <v>84</v>
      </c>
      <c r="F49" s="12" t="s">
        <v>222</v>
      </c>
      <c r="G49" s="10"/>
      <c r="H49" s="10" t="s">
        <v>70</v>
      </c>
      <c r="I49" s="10" t="s">
        <v>223</v>
      </c>
      <c r="J49" s="10" t="s">
        <v>70</v>
      </c>
      <c r="K49" s="10" t="s">
        <v>418</v>
      </c>
      <c r="L49" s="12" t="s">
        <v>419</v>
      </c>
      <c r="M49" s="29" t="str">
        <f t="shared" si="1"/>
        <v/>
      </c>
      <c r="N49" s="31">
        <f>IFERROR(__xludf.DUMMYFUNCTION("IF(Account!$F49&lt;&gt;"""", VALUE(REGEXREPLACE($I49, ""\,"", ""."")), """")"),-2.0)</f>
        <v>-2</v>
      </c>
      <c r="O49" s="33">
        <f>IF(Account!$F49&lt;&gt;"", DATEVALUE(MID($A49,4,3) &amp; LEFT($A49,3) &amp; RIGHT($A49,4)) + TIMEVALUE($B49), "")</f>
        <v>43608.65347</v>
      </c>
      <c r="P49" s="34">
        <f>IF(Account!$F49&lt;&gt;"", DATEVALUE(MID($C49,4,3) &amp; LEFT($C49,3) &amp; RIGHT($C49,4)), "")</f>
        <v>43608</v>
      </c>
      <c r="Q49" s="35" t="str">
        <f t="array" ref="Q49">IF($R49&lt;&gt;"",IFERROR(INDEX(Investment!$A:$A,MATCH($R49,Investment!$H:$H,0))),)</f>
        <v>Long term US bonds (20-25 year)</v>
      </c>
      <c r="R49" s="36" t="str">
        <f t="array" ref="R49">IF(AND($Y49="change",$H49="EUR"),IF(AND($AA49="Crédit",$O49=$O50),$R50,IF(AND($AA49="Débit",$O49=$O48),$R48)),IF(OR(AND(OR($E49&lt;&gt;"",$M49=""),$N49&lt;&gt;0),$A49=""),IFERROR(INDEX(Investment!$H:$H,MATCH($E49,Investment!$F:$F,0))),IFERROR(INDEX($R50:$R1119,MATCH(SUBSTITUTE($I49,"-","",1),$K50:$K1119,0)),INDEX($R50:$R1119,MATCH($K49,$K50:$K1119,0)))))</f>
        <v>iShares Treasury Bond 20+ UCITS</v>
      </c>
      <c r="S49" s="35" t="str">
        <f t="shared" si="2"/>
        <v>COST</v>
      </c>
      <c r="T49" s="37" t="str">
        <f t="shared" si="3"/>
        <v/>
      </c>
      <c r="U49" s="38" t="str">
        <f t="shared" si="4"/>
        <v/>
      </c>
      <c r="V49" s="31">
        <f t="shared" si="5"/>
        <v>-2.24</v>
      </c>
      <c r="W49" s="39" t="str">
        <f>IFERROR(__xludf.DUMMYFUNCTION(" IF(Account!$F49&lt;&gt;"""", SPLIT(Account!$F49, "" ""), """")"),"Frais")</f>
        <v>Frais</v>
      </c>
      <c r="X49" s="54" t="str">
        <f>IFERROR(__xludf.DUMMYFUNCTION("""COMPUTED_VALUE"""),"de")</f>
        <v>de</v>
      </c>
      <c r="Y49" s="54" t="str">
        <f>IFERROR(__xludf.DUMMYFUNCTION("""COMPUTED_VALUE"""),"courtage")</f>
        <v>courtage</v>
      </c>
      <c r="Z49" s="54"/>
      <c r="AA49" s="54"/>
      <c r="AB49" s="54"/>
      <c r="AC49" s="54"/>
      <c r="AD49" s="54"/>
      <c r="AE49" s="54"/>
      <c r="AF49" s="54"/>
      <c r="AG49" s="54"/>
      <c r="AH49" s="54"/>
      <c r="AI49" s="54"/>
      <c r="AJ49" s="54"/>
      <c r="AK49" s="54"/>
    </row>
    <row r="50">
      <c r="A50" s="10" t="s">
        <v>416</v>
      </c>
      <c r="B50" s="10" t="s">
        <v>417</v>
      </c>
      <c r="C50" s="10" t="s">
        <v>416</v>
      </c>
      <c r="D50" s="10" t="s">
        <v>83</v>
      </c>
      <c r="E50" s="10" t="s">
        <v>84</v>
      </c>
      <c r="F50" s="12" t="s">
        <v>222</v>
      </c>
      <c r="G50" s="10"/>
      <c r="H50" s="10" t="s">
        <v>70</v>
      </c>
      <c r="I50" s="10" t="s">
        <v>423</v>
      </c>
      <c r="J50" s="10" t="s">
        <v>70</v>
      </c>
      <c r="K50" s="10" t="s">
        <v>424</v>
      </c>
      <c r="L50" s="12" t="s">
        <v>425</v>
      </c>
      <c r="M50" s="29" t="str">
        <f t="shared" si="1"/>
        <v/>
      </c>
      <c r="N50" s="31">
        <f>IFERROR(__xludf.DUMMYFUNCTION("IF(Account!$F50&lt;&gt;"""", VALUE(REGEXREPLACE($I50, ""\,"", ""."")), """")"),-0.24)</f>
        <v>-0.24</v>
      </c>
      <c r="O50" s="33">
        <f>IF(Account!$F50&lt;&gt;"", DATEVALUE(MID($A50,4,3) &amp; LEFT($A50,3) &amp; RIGHT($A50,4)) + TIMEVALUE($B50), "")</f>
        <v>43608.65347</v>
      </c>
      <c r="P50" s="34">
        <f>IF(Account!$F50&lt;&gt;"", DATEVALUE(MID($C50,4,3) &amp; LEFT($C50,3) &amp; RIGHT($C50,4)), "")</f>
        <v>43608</v>
      </c>
      <c r="Q50" s="35" t="str">
        <f t="array" ref="Q50">IF($R50&lt;&gt;"",IFERROR(INDEX(Investment!$A:$A,MATCH($R50,Investment!$H:$H,0))),)</f>
        <v>Long term US bonds (20-25 year)</v>
      </c>
      <c r="R50" s="36" t="str">
        <f t="array" ref="R50">IF(AND($Y50="change",$H50="EUR"),IF(AND($AA50="Crédit",$O50=$O51),$R51,IF(AND($AA50="Débit",$O50=$O49),$R49)),IF(OR(AND(OR($E50&lt;&gt;"",$M50=""),$N50&lt;&gt;0),$A50=""),IFERROR(INDEX(Investment!$H:$H,MATCH($E50,Investment!$F:$F,0))),IFERROR(INDEX($R51:$R1119,MATCH(SUBSTITUTE($I50,"-","",1),$K51:$K1119,0)),INDEX($R51:$R1119,MATCH($K50,$K51:$K1119,0)))))</f>
        <v>iShares Treasury Bond 20+ UCITS</v>
      </c>
      <c r="S50" s="35" t="str">
        <f t="shared" si="2"/>
        <v>COST</v>
      </c>
      <c r="T50" s="37" t="str">
        <f t="shared" si="3"/>
        <v/>
      </c>
      <c r="U50" s="38" t="str">
        <f t="shared" si="4"/>
        <v/>
      </c>
      <c r="V50" s="31">
        <f t="shared" si="5"/>
        <v>-2.24</v>
      </c>
      <c r="W50" s="39" t="str">
        <f>IFERROR(__xludf.DUMMYFUNCTION(" IF(Account!$F50&lt;&gt;"""", SPLIT(Account!$F50, "" ""), """")"),"Frais")</f>
        <v>Frais</v>
      </c>
      <c r="X50" s="54" t="str">
        <f>IFERROR(__xludf.DUMMYFUNCTION("""COMPUTED_VALUE"""),"de")</f>
        <v>de</v>
      </c>
      <c r="Y50" s="54" t="str">
        <f>IFERROR(__xludf.DUMMYFUNCTION("""COMPUTED_VALUE"""),"courtage")</f>
        <v>courtage</v>
      </c>
      <c r="Z50" s="54"/>
      <c r="AA50" s="54"/>
      <c r="AB50" s="54"/>
      <c r="AC50" s="54"/>
      <c r="AD50" s="54"/>
      <c r="AE50" s="54"/>
      <c r="AF50" s="54"/>
      <c r="AG50" s="54"/>
      <c r="AH50" s="54"/>
      <c r="AI50" s="54"/>
      <c r="AJ50" s="54"/>
      <c r="AK50" s="54"/>
    </row>
    <row r="51">
      <c r="A51" s="10"/>
      <c r="B51" s="10"/>
      <c r="C51" s="10"/>
      <c r="D51" s="10"/>
      <c r="E51" s="10"/>
      <c r="F51" s="12"/>
      <c r="G51" s="10"/>
      <c r="H51" s="10"/>
      <c r="I51" s="10"/>
      <c r="J51" s="10"/>
      <c r="K51" s="10"/>
      <c r="L51" s="12" t="s">
        <v>428</v>
      </c>
      <c r="M51" s="29" t="str">
        <f t="shared" si="1"/>
        <v/>
      </c>
      <c r="N51" s="31" t="str">
        <f>IFERROR(__xludf.DUMMYFUNCTION("IF(Account!$F51&lt;&gt;"""", VALUE(REGEXREPLACE($I51, ""\,"", ""."")), """")"),"")</f>
        <v/>
      </c>
      <c r="O51" s="33" t="str">
        <f>IF(Account!$F51&lt;&gt;"", DATEVALUE(MID($A51,4,3) &amp; LEFT($A51,3) &amp; RIGHT($A51,4)) + TIMEVALUE($B51), "")</f>
        <v/>
      </c>
      <c r="P51" s="34" t="str">
        <f>IF(Account!$F51&lt;&gt;"", DATEVALUE(MID($C51,4,3) &amp; LEFT($C51,3) &amp; RIGHT($C51,4)), "")</f>
        <v/>
      </c>
      <c r="Q51" s="35" t="str">
        <f t="array" ref="Q51">IF($R51&lt;&gt;"",IFERROR(INDEX(Investment!$A:$A,MATCH($R51,Investment!$H:$H,0))),)</f>
        <v/>
      </c>
      <c r="R51" s="36" t="str">
        <f t="array" ref="R51">IF(AND($Y51="change",$H51="EUR"),IF(AND($AA51="Crédit",$O51=$O52),$R52,IF(AND($AA51="Débit",$O51=$O50),$R50)),IF(OR(AND(OR($E51&lt;&gt;"",$M51=""),$N51&lt;&gt;0),$A51=""),IFERROR(INDEX(Investment!$H:$H,MATCH($E51,Investment!$F:$F,0))),IFERROR(INDEX($R52:$R1119,MATCH(SUBSTITUTE($I51,"-","",1),$K52:$K1119,0)),INDEX($R52:$R1119,MATCH($K51,$K52:$K1119,0)))))</f>
        <v/>
      </c>
      <c r="S51" s="35" t="str">
        <f t="shared" si="2"/>
        <v/>
      </c>
      <c r="T51" s="37" t="str">
        <f t="shared" si="3"/>
        <v/>
      </c>
      <c r="U51" s="38" t="str">
        <f t="shared" si="4"/>
        <v/>
      </c>
      <c r="V51" s="31" t="str">
        <f t="shared" si="5"/>
        <v/>
      </c>
      <c r="W51" s="39" t="str">
        <f>IFERROR(__xludf.DUMMYFUNCTION(" IF(Account!$F51&lt;&gt;"""", SPLIT(Account!$F51, "" ""), """")"),"")</f>
        <v/>
      </c>
      <c r="X51" s="54"/>
      <c r="Y51" s="54"/>
      <c r="Z51" s="54"/>
      <c r="AA51" s="54"/>
      <c r="AB51" s="54"/>
      <c r="AC51" s="54"/>
      <c r="AD51" s="54"/>
      <c r="AE51" s="54"/>
      <c r="AF51" s="54"/>
      <c r="AG51" s="54"/>
      <c r="AH51" s="54"/>
      <c r="AI51" s="54"/>
      <c r="AJ51" s="54"/>
      <c r="AK51" s="54"/>
    </row>
    <row r="52">
      <c r="A52" s="10" t="s">
        <v>416</v>
      </c>
      <c r="B52" s="10" t="s">
        <v>417</v>
      </c>
      <c r="C52" s="10" t="s">
        <v>416</v>
      </c>
      <c r="D52" s="10" t="s">
        <v>83</v>
      </c>
      <c r="E52" s="10" t="s">
        <v>84</v>
      </c>
      <c r="F52" s="12" t="s">
        <v>430</v>
      </c>
      <c r="G52" s="10"/>
      <c r="H52" s="10" t="s">
        <v>70</v>
      </c>
      <c r="I52" s="10" t="s">
        <v>431</v>
      </c>
      <c r="J52" s="10" t="s">
        <v>70</v>
      </c>
      <c r="K52" s="10" t="s">
        <v>432</v>
      </c>
      <c r="L52" s="12" t="s">
        <v>419</v>
      </c>
      <c r="M52" s="29">
        <f t="shared" si="1"/>
        <v>-277</v>
      </c>
      <c r="N52" s="31">
        <f>IFERROR(__xludf.DUMMYFUNCTION("IF(Account!$F52&lt;&gt;"""", VALUE(REGEXREPLACE($I52, ""\,"", ""."")), """")"),1192.96)</f>
        <v>1192.96</v>
      </c>
      <c r="O52" s="33">
        <f>IF(Account!$F52&lt;&gt;"", DATEVALUE(MID($A52,4,3) &amp; LEFT($A52,3) &amp; RIGHT($A52,4)) + TIMEVALUE($B52), "")</f>
        <v>43608.65347</v>
      </c>
      <c r="P52" s="34">
        <f>IF(Account!$F52&lt;&gt;"", DATEVALUE(MID($C52,4,3) &amp; LEFT($C52,3) &amp; RIGHT($C52,4)), "")</f>
        <v>43608</v>
      </c>
      <c r="Q52" s="35" t="str">
        <f t="array" ref="Q52">IF($R52&lt;&gt;"",IFERROR(INDEX(Investment!$A:$A,MATCH($R52,Investment!$H:$H,0))),)</f>
        <v>Long term US bonds (20-25 year)</v>
      </c>
      <c r="R52" s="36" t="str">
        <f t="array" ref="R52">IF(AND($Y52="change",$H52="EUR"),IF(AND($AA52="Crédit",$O52=$O53),$R53,IF(AND($AA52="Débit",$O52=$O51),$R51)),IF(OR(AND(OR($E52&lt;&gt;"",$M52=""),$N52&lt;&gt;0),$A52=""),IFERROR(INDEX(Investment!$H:$H,MATCH($E52,Investment!$F:$F,0))),IFERROR(INDEX($R53:$R1119,MATCH(SUBSTITUTE($I52,"-","",1),$K53:$K1119,0)),INDEX($R53:$R1119,MATCH($K52,$K53:$K1119,0)))))</f>
        <v>iShares Treasury Bond 20+ UCITS</v>
      </c>
      <c r="S52" s="35" t="str">
        <f t="shared" si="2"/>
        <v>SELL</v>
      </c>
      <c r="T52" s="37">
        <f t="shared" si="3"/>
        <v>-277</v>
      </c>
      <c r="U52" s="38">
        <f t="shared" si="4"/>
        <v>4.306714801</v>
      </c>
      <c r="V52" s="31">
        <f t="shared" si="5"/>
        <v>1192.96</v>
      </c>
      <c r="W52" s="39" t="str">
        <f>IFERROR(__xludf.DUMMYFUNCTION(" IF(Account!$F52&lt;&gt;"""", SPLIT(Account!$F52, "" ""), """")"),"Vente")</f>
        <v>Vente</v>
      </c>
      <c r="X52" s="54">
        <f>IFERROR(__xludf.DUMMYFUNCTION("""COMPUTED_VALUE"""),277.0)</f>
        <v>277</v>
      </c>
      <c r="Y52" s="54" t="str">
        <f>IFERROR(__xludf.DUMMYFUNCTION("""COMPUTED_VALUE"""),"ISHSIV-DL")</f>
        <v>ISHSIV-DL</v>
      </c>
      <c r="Z52" s="54" t="str">
        <f>IFERROR(__xludf.DUMMYFUNCTION("""COMPUTED_VALUE"""),"T.BD20+YR")</f>
        <v>T.BD20+YR</v>
      </c>
      <c r="AA52" s="54" t="str">
        <f>IFERROR(__xludf.DUMMYFUNCTION("""COMPUTED_VALUE"""),"DL")</f>
        <v>DL</v>
      </c>
      <c r="AB52" s="54" t="str">
        <f>IFERROR(__xludf.DUMMYFUNCTION("""COMPUTED_VALUE"""),"D@4,3067")</f>
        <v>D@4,3067</v>
      </c>
      <c r="AC52" s="54" t="str">
        <f>IFERROR(__xludf.DUMMYFUNCTION("""COMPUTED_VALUE"""),"EUR")</f>
        <v>EUR</v>
      </c>
      <c r="AD52" s="54" t="str">
        <f>IFERROR(__xludf.DUMMYFUNCTION("""COMPUTED_VALUE"""),"(IE00BSKRJZ44)")</f>
        <v>(IE00BSKRJZ44)</v>
      </c>
      <c r="AE52" s="54"/>
      <c r="AF52" s="54"/>
      <c r="AG52" s="54"/>
      <c r="AH52" s="54"/>
      <c r="AI52" s="54"/>
      <c r="AJ52" s="54"/>
      <c r="AK52" s="54"/>
    </row>
    <row r="53">
      <c r="A53" s="10" t="s">
        <v>416</v>
      </c>
      <c r="B53" s="10" t="s">
        <v>435</v>
      </c>
      <c r="C53" s="10" t="s">
        <v>416</v>
      </c>
      <c r="D53" s="10" t="s">
        <v>83</v>
      </c>
      <c r="E53" s="10" t="s">
        <v>84</v>
      </c>
      <c r="F53" s="12" t="s">
        <v>222</v>
      </c>
      <c r="G53" s="10"/>
      <c r="H53" s="10" t="s">
        <v>70</v>
      </c>
      <c r="I53" s="10" t="s">
        <v>223</v>
      </c>
      <c r="J53" s="10" t="s">
        <v>70</v>
      </c>
      <c r="K53" s="10" t="s">
        <v>436</v>
      </c>
      <c r="L53" s="12" t="s">
        <v>437</v>
      </c>
      <c r="M53" s="29" t="str">
        <f t="shared" si="1"/>
        <v/>
      </c>
      <c r="N53" s="31">
        <f>IFERROR(__xludf.DUMMYFUNCTION("IF(Account!$F53&lt;&gt;"""", VALUE(REGEXREPLACE($I53, ""\,"", ""."")), """")"),-2.0)</f>
        <v>-2</v>
      </c>
      <c r="O53" s="33">
        <f>IF(Account!$F53&lt;&gt;"", DATEVALUE(MID($A53,4,3) &amp; LEFT($A53,3) &amp; RIGHT($A53,4)) + TIMEVALUE($B53), "")</f>
        <v>43608.4875</v>
      </c>
      <c r="P53" s="34">
        <f>IF(Account!$F53&lt;&gt;"", DATEVALUE(MID($C53,4,3) &amp; LEFT($C53,3) &amp; RIGHT($C53,4)), "")</f>
        <v>43608</v>
      </c>
      <c r="Q53" s="35" t="str">
        <f t="array" ref="Q53">IF($R53&lt;&gt;"",IFERROR(INDEX(Investment!$A:$A,MATCH($R53,Investment!$H:$H,0))),)</f>
        <v>Long term US bonds (20-25 year)</v>
      </c>
      <c r="R53" s="36" t="str">
        <f t="array" ref="R53">IF(AND($Y53="change",$H53="EUR"),IF(AND($AA53="Crédit",$O53=$O54),$R54,IF(AND($AA53="Débit",$O53=$O52),$R52)),IF(OR(AND(OR($E53&lt;&gt;"",$M53=""),$N53&lt;&gt;0),$A53=""),IFERROR(INDEX(Investment!$H:$H,MATCH($E53,Investment!$F:$F,0))),IFERROR(INDEX($R54:$R1119,MATCH(SUBSTITUTE($I53,"-","",1),$K54:$K1119,0)),INDEX($R54:$R1119,MATCH($K53,$K54:$K1119,0)))))</f>
        <v>iShares Treasury Bond 20+ UCITS</v>
      </c>
      <c r="S53" s="35" t="str">
        <f t="shared" si="2"/>
        <v>COST</v>
      </c>
      <c r="T53" s="37" t="str">
        <f t="shared" si="3"/>
        <v/>
      </c>
      <c r="U53" s="38" t="str">
        <f t="shared" si="4"/>
        <v/>
      </c>
      <c r="V53" s="31">
        <f t="shared" si="5"/>
        <v>-2.25</v>
      </c>
      <c r="W53" s="39" t="str">
        <f>IFERROR(__xludf.DUMMYFUNCTION(" IF(Account!$F53&lt;&gt;"""", SPLIT(Account!$F53, "" ""), """")"),"Frais")</f>
        <v>Frais</v>
      </c>
      <c r="X53" s="54" t="str">
        <f>IFERROR(__xludf.DUMMYFUNCTION("""COMPUTED_VALUE"""),"de")</f>
        <v>de</v>
      </c>
      <c r="Y53" s="54" t="str">
        <f>IFERROR(__xludf.DUMMYFUNCTION("""COMPUTED_VALUE"""),"courtage")</f>
        <v>courtage</v>
      </c>
      <c r="Z53" s="54"/>
      <c r="AA53" s="54"/>
      <c r="AB53" s="54"/>
      <c r="AC53" s="54"/>
      <c r="AD53" s="54"/>
      <c r="AE53" s="54"/>
      <c r="AF53" s="54"/>
      <c r="AG53" s="54"/>
      <c r="AH53" s="54"/>
      <c r="AI53" s="54"/>
      <c r="AJ53" s="54"/>
      <c r="AK53" s="54"/>
    </row>
    <row r="54">
      <c r="A54" s="10" t="s">
        <v>416</v>
      </c>
      <c r="B54" s="10" t="s">
        <v>435</v>
      </c>
      <c r="C54" s="10" t="s">
        <v>416</v>
      </c>
      <c r="D54" s="10" t="s">
        <v>83</v>
      </c>
      <c r="E54" s="10" t="s">
        <v>84</v>
      </c>
      <c r="F54" s="12" t="s">
        <v>222</v>
      </c>
      <c r="G54" s="10"/>
      <c r="H54" s="10" t="s">
        <v>70</v>
      </c>
      <c r="I54" s="10" t="s">
        <v>440</v>
      </c>
      <c r="J54" s="10" t="s">
        <v>70</v>
      </c>
      <c r="K54" s="10" t="s">
        <v>441</v>
      </c>
      <c r="L54" s="12" t="s">
        <v>437</v>
      </c>
      <c r="M54" s="29" t="str">
        <f t="shared" si="1"/>
        <v/>
      </c>
      <c r="N54" s="31">
        <f>IFERROR(__xludf.DUMMYFUNCTION("IF(Account!$F54&lt;&gt;"""", VALUE(REGEXREPLACE($I54, ""\,"", ""."")), """")"),-0.25)</f>
        <v>-0.25</v>
      </c>
      <c r="O54" s="33">
        <f>IF(Account!$F54&lt;&gt;"", DATEVALUE(MID($A54,4,3) &amp; LEFT($A54,3) &amp; RIGHT($A54,4)) + TIMEVALUE($B54), "")</f>
        <v>43608.4875</v>
      </c>
      <c r="P54" s="34">
        <f>IF(Account!$F54&lt;&gt;"", DATEVALUE(MID($C54,4,3) &amp; LEFT($C54,3) &amp; RIGHT($C54,4)), "")</f>
        <v>43608</v>
      </c>
      <c r="Q54" s="35" t="str">
        <f t="array" ref="Q54">IF($R54&lt;&gt;"",IFERROR(INDEX(Investment!$A:$A,MATCH($R54,Investment!$H:$H,0))),)</f>
        <v>Long term US bonds (20-25 year)</v>
      </c>
      <c r="R54" s="36" t="str">
        <f t="array" ref="R54">IF(AND($Y54="change",$H54="EUR"),IF(AND($AA54="Crédit",$O54=$O55),$R55,IF(AND($AA54="Débit",$O54=$O53),$R53)),IF(OR(AND(OR($E54&lt;&gt;"",$M54=""),$N54&lt;&gt;0),$A54=""),IFERROR(INDEX(Investment!$H:$H,MATCH($E54,Investment!$F:$F,0))),IFERROR(INDEX($R55:$R1119,MATCH(SUBSTITUTE($I54,"-","",1),$K55:$K1119,0)),INDEX($R55:$R1119,MATCH($K54,$K55:$K1119,0)))))</f>
        <v>iShares Treasury Bond 20+ UCITS</v>
      </c>
      <c r="S54" s="35" t="str">
        <f t="shared" si="2"/>
        <v>COST</v>
      </c>
      <c r="T54" s="37" t="str">
        <f t="shared" si="3"/>
        <v/>
      </c>
      <c r="U54" s="38" t="str">
        <f t="shared" si="4"/>
        <v/>
      </c>
      <c r="V54" s="31">
        <f t="shared" si="5"/>
        <v>-2.25</v>
      </c>
      <c r="W54" s="39" t="str">
        <f>IFERROR(__xludf.DUMMYFUNCTION(" IF(Account!$F54&lt;&gt;"""", SPLIT(Account!$F54, "" ""), """")"),"Frais")</f>
        <v>Frais</v>
      </c>
      <c r="X54" s="54" t="str">
        <f>IFERROR(__xludf.DUMMYFUNCTION("""COMPUTED_VALUE"""),"de")</f>
        <v>de</v>
      </c>
      <c r="Y54" s="54" t="str">
        <f>IFERROR(__xludf.DUMMYFUNCTION("""COMPUTED_VALUE"""),"courtage")</f>
        <v>courtage</v>
      </c>
      <c r="Z54" s="54"/>
      <c r="AA54" s="54"/>
      <c r="AB54" s="54"/>
      <c r="AC54" s="54"/>
      <c r="AD54" s="54"/>
      <c r="AE54" s="54"/>
      <c r="AF54" s="54"/>
      <c r="AG54" s="54"/>
      <c r="AH54" s="54"/>
      <c r="AI54" s="54"/>
      <c r="AJ54" s="54"/>
      <c r="AK54" s="54"/>
    </row>
    <row r="55">
      <c r="A55" s="10" t="s">
        <v>416</v>
      </c>
      <c r="B55" s="10" t="s">
        <v>435</v>
      </c>
      <c r="C55" s="10" t="s">
        <v>416</v>
      </c>
      <c r="D55" s="10" t="s">
        <v>83</v>
      </c>
      <c r="E55" s="10" t="s">
        <v>84</v>
      </c>
      <c r="F55" s="12" t="s">
        <v>442</v>
      </c>
      <c r="G55" s="10"/>
      <c r="H55" s="10" t="s">
        <v>70</v>
      </c>
      <c r="I55" s="10" t="s">
        <v>443</v>
      </c>
      <c r="J55" s="10" t="s">
        <v>70</v>
      </c>
      <c r="K55" s="10" t="s">
        <v>444</v>
      </c>
      <c r="L55" s="12" t="s">
        <v>437</v>
      </c>
      <c r="M55" s="29">
        <f t="shared" si="1"/>
        <v>-292</v>
      </c>
      <c r="N55" s="31">
        <f>IFERROR(__xludf.DUMMYFUNCTION("IF(Account!$F55&lt;&gt;"""", VALUE(REGEXREPLACE($I55, ""\,"", ""."")), """")"),1253.79)</f>
        <v>1253.79</v>
      </c>
      <c r="O55" s="33">
        <f>IF(Account!$F55&lt;&gt;"", DATEVALUE(MID($A55,4,3) &amp; LEFT($A55,3) &amp; RIGHT($A55,4)) + TIMEVALUE($B55), "")</f>
        <v>43608.4875</v>
      </c>
      <c r="P55" s="34">
        <f>IF(Account!$F55&lt;&gt;"", DATEVALUE(MID($C55,4,3) &amp; LEFT($C55,3) &amp; RIGHT($C55,4)), "")</f>
        <v>43608</v>
      </c>
      <c r="Q55" s="35" t="str">
        <f t="array" ref="Q55">IF($R55&lt;&gt;"",IFERROR(INDEX(Investment!$A:$A,MATCH($R55,Investment!$H:$H,0))),)</f>
        <v>Long term US bonds (20-25 year)</v>
      </c>
      <c r="R55" s="36" t="str">
        <f t="array" ref="R55">IF(AND($Y55="change",$H55="EUR"),IF(AND($AA55="Crédit",$O55=$O56),$R56,IF(AND($AA55="Débit",$O55=$O54),$R54)),IF(OR(AND(OR($E55&lt;&gt;"",$M55=""),$N55&lt;&gt;0),$A55=""),IFERROR(INDEX(Investment!$H:$H,MATCH($E55,Investment!$F:$F,0))),IFERROR(INDEX($R56:$R1119,MATCH(SUBSTITUTE($I55,"-","",1),$K56:$K1119,0)),INDEX($R56:$R1119,MATCH($K55,$K56:$K1119,0)))))</f>
        <v>iShares Treasury Bond 20+ UCITS</v>
      </c>
      <c r="S55" s="35" t="str">
        <f t="shared" si="2"/>
        <v>SELL</v>
      </c>
      <c r="T55" s="37">
        <f t="shared" si="3"/>
        <v>-292</v>
      </c>
      <c r="U55" s="38">
        <f t="shared" si="4"/>
        <v>4.29380137</v>
      </c>
      <c r="V55" s="31">
        <f t="shared" si="5"/>
        <v>1253.79</v>
      </c>
      <c r="W55" s="39" t="str">
        <f>IFERROR(__xludf.DUMMYFUNCTION(" IF(Account!$F55&lt;&gt;"""", SPLIT(Account!$F55, "" ""), """")"),"Vente")</f>
        <v>Vente</v>
      </c>
      <c r="X55" s="54">
        <f>IFERROR(__xludf.DUMMYFUNCTION("""COMPUTED_VALUE"""),292.0)</f>
        <v>292</v>
      </c>
      <c r="Y55" s="54" t="str">
        <f>IFERROR(__xludf.DUMMYFUNCTION("""COMPUTED_VALUE"""),"ISHSIV-DL")</f>
        <v>ISHSIV-DL</v>
      </c>
      <c r="Z55" s="54" t="str">
        <f>IFERROR(__xludf.DUMMYFUNCTION("""COMPUTED_VALUE"""),"T.BD20+YR")</f>
        <v>T.BD20+YR</v>
      </c>
      <c r="AA55" s="54" t="str">
        <f>IFERROR(__xludf.DUMMYFUNCTION("""COMPUTED_VALUE"""),"DL")</f>
        <v>DL</v>
      </c>
      <c r="AB55" s="54" t="str">
        <f>IFERROR(__xludf.DUMMYFUNCTION("""COMPUTED_VALUE"""),"D@4,2938")</f>
        <v>D@4,2938</v>
      </c>
      <c r="AC55" s="54" t="str">
        <f>IFERROR(__xludf.DUMMYFUNCTION("""COMPUTED_VALUE"""),"EUR")</f>
        <v>EUR</v>
      </c>
      <c r="AD55" s="54" t="str">
        <f>IFERROR(__xludf.DUMMYFUNCTION("""COMPUTED_VALUE"""),"(IE00BSKRJZ44)")</f>
        <v>(IE00BSKRJZ44)</v>
      </c>
      <c r="AE55" s="54"/>
      <c r="AF55" s="54"/>
      <c r="AG55" s="54"/>
      <c r="AH55" s="54"/>
      <c r="AI55" s="54"/>
      <c r="AJ55" s="54"/>
      <c r="AK55" s="54"/>
    </row>
    <row r="56">
      <c r="A56" s="10" t="s">
        <v>416</v>
      </c>
      <c r="B56" s="10" t="s">
        <v>445</v>
      </c>
      <c r="C56" s="10" t="s">
        <v>416</v>
      </c>
      <c r="D56" s="10" t="s">
        <v>83</v>
      </c>
      <c r="E56" s="10" t="s">
        <v>84</v>
      </c>
      <c r="F56" s="12" t="s">
        <v>222</v>
      </c>
      <c r="G56" s="10"/>
      <c r="H56" s="10" t="s">
        <v>70</v>
      </c>
      <c r="I56" s="10" t="s">
        <v>223</v>
      </c>
      <c r="J56" s="10" t="s">
        <v>70</v>
      </c>
      <c r="K56" s="10" t="s">
        <v>446</v>
      </c>
      <c r="L56" s="12" t="s">
        <v>447</v>
      </c>
      <c r="M56" s="29" t="str">
        <f t="shared" si="1"/>
        <v/>
      </c>
      <c r="N56" s="31">
        <f>IFERROR(__xludf.DUMMYFUNCTION("IF(Account!$F56&lt;&gt;"""", VALUE(REGEXREPLACE($I56, ""\,"", ""."")), """")"),-2.0)</f>
        <v>-2</v>
      </c>
      <c r="O56" s="33">
        <f>IF(Account!$F56&lt;&gt;"", DATEVALUE(MID($A56,4,3) &amp; LEFT($A56,3) &amp; RIGHT($A56,4)) + TIMEVALUE($B56), "")</f>
        <v>43608.39861</v>
      </c>
      <c r="P56" s="34">
        <f>IF(Account!$F56&lt;&gt;"", DATEVALUE(MID($C56,4,3) &amp; LEFT($C56,3) &amp; RIGHT($C56,4)), "")</f>
        <v>43608</v>
      </c>
      <c r="Q56" s="35" t="str">
        <f t="array" ref="Q56">IF($R56&lt;&gt;"",IFERROR(INDEX(Investment!$A:$A,MATCH($R56,Investment!$H:$H,0))),)</f>
        <v>Long term US bonds (20-25 year)</v>
      </c>
      <c r="R56" s="36" t="str">
        <f t="array" ref="R56">IF(AND($Y56="change",$H56="EUR"),IF(AND($AA56="Crédit",$O56=$O57),$R57,IF(AND($AA56="Débit",$O56=$O55),$R55)),IF(OR(AND(OR($E56&lt;&gt;"",$M56=""),$N56&lt;&gt;0),$A56=""),IFERROR(INDEX(Investment!$H:$H,MATCH($E56,Investment!$F:$F,0))),IFERROR(INDEX($R57:$R1119,MATCH(SUBSTITUTE($I56,"-","",1),$K57:$K1119,0)),INDEX($R57:$R1119,MATCH($K56,$K57:$K1119,0)))))</f>
        <v>iShares Treasury Bond 20+ UCITS</v>
      </c>
      <c r="S56" s="35" t="str">
        <f t="shared" si="2"/>
        <v>COST</v>
      </c>
      <c r="T56" s="37" t="str">
        <f t="shared" si="3"/>
        <v/>
      </c>
      <c r="U56" s="38" t="str">
        <f t="shared" si="4"/>
        <v/>
      </c>
      <c r="V56" s="31">
        <f t="shared" si="5"/>
        <v>-2.21</v>
      </c>
      <c r="W56" s="39" t="str">
        <f>IFERROR(__xludf.DUMMYFUNCTION(" IF(Account!$F56&lt;&gt;"""", SPLIT(Account!$F56, "" ""), """")"),"Frais")</f>
        <v>Frais</v>
      </c>
      <c r="X56" s="54" t="str">
        <f>IFERROR(__xludf.DUMMYFUNCTION("""COMPUTED_VALUE"""),"de")</f>
        <v>de</v>
      </c>
      <c r="Y56" s="54" t="str">
        <f>IFERROR(__xludf.DUMMYFUNCTION("""COMPUTED_VALUE"""),"courtage")</f>
        <v>courtage</v>
      </c>
      <c r="Z56" s="54"/>
      <c r="AA56" s="54"/>
      <c r="AB56" s="54"/>
      <c r="AC56" s="54"/>
      <c r="AD56" s="54"/>
      <c r="AE56" s="54"/>
      <c r="AF56" s="54"/>
      <c r="AG56" s="54"/>
      <c r="AH56" s="54"/>
      <c r="AI56" s="54"/>
      <c r="AJ56" s="54"/>
      <c r="AK56" s="54"/>
    </row>
    <row r="57">
      <c r="A57" s="10" t="s">
        <v>416</v>
      </c>
      <c r="B57" s="10" t="s">
        <v>445</v>
      </c>
      <c r="C57" s="10" t="s">
        <v>416</v>
      </c>
      <c r="D57" s="10" t="s">
        <v>83</v>
      </c>
      <c r="E57" s="10" t="s">
        <v>84</v>
      </c>
      <c r="F57" s="12" t="s">
        <v>222</v>
      </c>
      <c r="G57" s="10"/>
      <c r="H57" s="10" t="s">
        <v>70</v>
      </c>
      <c r="I57" s="10" t="s">
        <v>408</v>
      </c>
      <c r="J57" s="10" t="s">
        <v>70</v>
      </c>
      <c r="K57" s="10" t="s">
        <v>450</v>
      </c>
      <c r="L57" s="12" t="s">
        <v>447</v>
      </c>
      <c r="M57" s="29" t="str">
        <f t="shared" si="1"/>
        <v/>
      </c>
      <c r="N57" s="31">
        <f>IFERROR(__xludf.DUMMYFUNCTION("IF(Account!$F57&lt;&gt;"""", VALUE(REGEXREPLACE($I57, ""\,"", ""."")), """")"),-0.21)</f>
        <v>-0.21</v>
      </c>
      <c r="O57" s="33">
        <f>IF(Account!$F57&lt;&gt;"", DATEVALUE(MID($A57,4,3) &amp; LEFT($A57,3) &amp; RIGHT($A57,4)) + TIMEVALUE($B57), "")</f>
        <v>43608.39861</v>
      </c>
      <c r="P57" s="34">
        <f>IF(Account!$F57&lt;&gt;"", DATEVALUE(MID($C57,4,3) &amp; LEFT($C57,3) &amp; RIGHT($C57,4)), "")</f>
        <v>43608</v>
      </c>
      <c r="Q57" s="35" t="str">
        <f t="array" ref="Q57">IF($R57&lt;&gt;"",IFERROR(INDEX(Investment!$A:$A,MATCH($R57,Investment!$H:$H,0))),)</f>
        <v>Long term US bonds (20-25 year)</v>
      </c>
      <c r="R57" s="36" t="str">
        <f t="array" ref="R57">IF(AND($Y57="change",$H57="EUR"),IF(AND($AA57="Crédit",$O57=$O58),$R58,IF(AND($AA57="Débit",$O57=$O56),$R56)),IF(OR(AND(OR($E57&lt;&gt;"",$M57=""),$N57&lt;&gt;0),$A57=""),IFERROR(INDEX(Investment!$H:$H,MATCH($E57,Investment!$F:$F,0))),IFERROR(INDEX($R58:$R1119,MATCH(SUBSTITUTE($I57,"-","",1),$K58:$K1119,0)),INDEX($R58:$R1119,MATCH($K57,$K58:$K1119,0)))))</f>
        <v>iShares Treasury Bond 20+ UCITS</v>
      </c>
      <c r="S57" s="35" t="str">
        <f t="shared" si="2"/>
        <v>COST</v>
      </c>
      <c r="T57" s="37" t="str">
        <f t="shared" si="3"/>
        <v/>
      </c>
      <c r="U57" s="38" t="str">
        <f t="shared" si="4"/>
        <v/>
      </c>
      <c r="V57" s="31">
        <f t="shared" si="5"/>
        <v>-2.21</v>
      </c>
      <c r="W57" s="39" t="str">
        <f>IFERROR(__xludf.DUMMYFUNCTION(" IF(Account!$F57&lt;&gt;"""", SPLIT(Account!$F57, "" ""), """")"),"Frais")</f>
        <v>Frais</v>
      </c>
      <c r="X57" s="54" t="str">
        <f>IFERROR(__xludf.DUMMYFUNCTION("""COMPUTED_VALUE"""),"de")</f>
        <v>de</v>
      </c>
      <c r="Y57" s="54" t="str">
        <f>IFERROR(__xludf.DUMMYFUNCTION("""COMPUTED_VALUE"""),"courtage")</f>
        <v>courtage</v>
      </c>
      <c r="Z57" s="54"/>
      <c r="AA57" s="54"/>
      <c r="AB57" s="54"/>
      <c r="AC57" s="54"/>
      <c r="AD57" s="54"/>
      <c r="AE57" s="54"/>
      <c r="AF57" s="54"/>
      <c r="AG57" s="54"/>
      <c r="AH57" s="54"/>
      <c r="AI57" s="54"/>
      <c r="AJ57" s="54"/>
      <c r="AK57" s="54"/>
    </row>
    <row r="58">
      <c r="A58" s="10" t="s">
        <v>416</v>
      </c>
      <c r="B58" s="10" t="s">
        <v>445</v>
      </c>
      <c r="C58" s="10" t="s">
        <v>416</v>
      </c>
      <c r="D58" s="10" t="s">
        <v>83</v>
      </c>
      <c r="E58" s="10" t="s">
        <v>84</v>
      </c>
      <c r="F58" s="12" t="s">
        <v>453</v>
      </c>
      <c r="G58" s="10"/>
      <c r="H58" s="10" t="s">
        <v>70</v>
      </c>
      <c r="I58" s="10" t="s">
        <v>454</v>
      </c>
      <c r="J58" s="10" t="s">
        <v>70</v>
      </c>
      <c r="K58" s="10" t="s">
        <v>455</v>
      </c>
      <c r="L58" s="12" t="s">
        <v>447</v>
      </c>
      <c r="M58" s="29">
        <f t="shared" si="1"/>
        <v>-251</v>
      </c>
      <c r="N58" s="31">
        <f>IFERROR(__xludf.DUMMYFUNCTION("IF(Account!$F58&lt;&gt;"""", VALUE(REGEXREPLACE($I58, ""\,"", ""."")), """")"),1073.78)</f>
        <v>1073.78</v>
      </c>
      <c r="O58" s="33">
        <f>IF(Account!$F58&lt;&gt;"", DATEVALUE(MID($A58,4,3) &amp; LEFT($A58,3) &amp; RIGHT($A58,4)) + TIMEVALUE($B58), "")</f>
        <v>43608.39861</v>
      </c>
      <c r="P58" s="34">
        <f>IF(Account!$F58&lt;&gt;"", DATEVALUE(MID($C58,4,3) &amp; LEFT($C58,3) &amp; RIGHT($C58,4)), "")</f>
        <v>43608</v>
      </c>
      <c r="Q58" s="35" t="str">
        <f t="array" ref="Q58">IF($R58&lt;&gt;"",IFERROR(INDEX(Investment!$A:$A,MATCH($R58,Investment!$H:$H,0))),)</f>
        <v>Long term US bonds (20-25 year)</v>
      </c>
      <c r="R58" s="36" t="str">
        <f t="array" ref="R58">IF(AND($Y58="change",$H58="EUR"),IF(AND($AA58="Crédit",$O58=$O59),$R59,IF(AND($AA58="Débit",$O58=$O57),$R57)),IF(OR(AND(OR($E58&lt;&gt;"",$M58=""),$N58&lt;&gt;0),$A58=""),IFERROR(INDEX(Investment!$H:$H,MATCH($E58,Investment!$F:$F,0))),IFERROR(INDEX($R59:$R1119,MATCH(SUBSTITUTE($I58,"-","",1),$K59:$K1119,0)),INDEX($R59:$R1119,MATCH($K58,$K59:$K1119,0)))))</f>
        <v>iShares Treasury Bond 20+ UCITS</v>
      </c>
      <c r="S58" s="35" t="str">
        <f t="shared" si="2"/>
        <v>SELL</v>
      </c>
      <c r="T58" s="37">
        <f t="shared" si="3"/>
        <v>-251</v>
      </c>
      <c r="U58" s="38">
        <f t="shared" si="4"/>
        <v>4.278007968</v>
      </c>
      <c r="V58" s="31">
        <f t="shared" si="5"/>
        <v>1073.78</v>
      </c>
      <c r="W58" s="39" t="str">
        <f>IFERROR(__xludf.DUMMYFUNCTION(" IF(Account!$F58&lt;&gt;"""", SPLIT(Account!$F58, "" ""), """")"),"Vente")</f>
        <v>Vente</v>
      </c>
      <c r="X58" s="54">
        <f>IFERROR(__xludf.DUMMYFUNCTION("""COMPUTED_VALUE"""),251.0)</f>
        <v>251</v>
      </c>
      <c r="Y58" s="54" t="str">
        <f>IFERROR(__xludf.DUMMYFUNCTION("""COMPUTED_VALUE"""),"ISHSIV-DL")</f>
        <v>ISHSIV-DL</v>
      </c>
      <c r="Z58" s="54" t="str">
        <f>IFERROR(__xludf.DUMMYFUNCTION("""COMPUTED_VALUE"""),"T.BD20+YR")</f>
        <v>T.BD20+YR</v>
      </c>
      <c r="AA58" s="54" t="str">
        <f>IFERROR(__xludf.DUMMYFUNCTION("""COMPUTED_VALUE"""),"DL")</f>
        <v>DL</v>
      </c>
      <c r="AB58" s="54" t="str">
        <f>IFERROR(__xludf.DUMMYFUNCTION("""COMPUTED_VALUE"""),"D@4,278")</f>
        <v>D@4,278</v>
      </c>
      <c r="AC58" s="54" t="str">
        <f>IFERROR(__xludf.DUMMYFUNCTION("""COMPUTED_VALUE"""),"EUR")</f>
        <v>EUR</v>
      </c>
      <c r="AD58" s="54" t="str">
        <f>IFERROR(__xludf.DUMMYFUNCTION("""COMPUTED_VALUE"""),"(IE00BSKRJZ44)")</f>
        <v>(IE00BSKRJZ44)</v>
      </c>
      <c r="AE58" s="54"/>
      <c r="AF58" s="54"/>
      <c r="AG58" s="54"/>
      <c r="AH58" s="54"/>
      <c r="AI58" s="54"/>
      <c r="AJ58" s="54"/>
      <c r="AK58" s="54"/>
    </row>
    <row r="59">
      <c r="A59" s="10" t="s">
        <v>457</v>
      </c>
      <c r="B59" s="10" t="s">
        <v>458</v>
      </c>
      <c r="C59" s="10" t="s">
        <v>457</v>
      </c>
      <c r="D59" s="10" t="s">
        <v>241</v>
      </c>
      <c r="E59" s="10" t="s">
        <v>242</v>
      </c>
      <c r="F59" s="12" t="s">
        <v>459</v>
      </c>
      <c r="G59" s="10"/>
      <c r="H59" s="10" t="s">
        <v>70</v>
      </c>
      <c r="I59" s="10" t="s">
        <v>460</v>
      </c>
      <c r="J59" s="10" t="s">
        <v>70</v>
      </c>
      <c r="K59" s="10" t="s">
        <v>461</v>
      </c>
      <c r="L59" s="12" t="s">
        <v>462</v>
      </c>
      <c r="M59" s="29">
        <f t="shared" si="1"/>
        <v>-6</v>
      </c>
      <c r="N59" s="31">
        <f>IFERROR(__xludf.DUMMYFUNCTION("IF(Account!$F59&lt;&gt;"""", VALUE(REGEXREPLACE($I59, ""\,"", ""."")), """")"),1064.76)</f>
        <v>1064.76</v>
      </c>
      <c r="O59" s="33">
        <f>IF(Account!$F59&lt;&gt;"", DATEVALUE(MID($A59,4,3) &amp; LEFT($A59,3) &amp; RIGHT($A59,4)) + TIMEVALUE($B59), "")</f>
        <v>43600.60903</v>
      </c>
      <c r="P59" s="34">
        <f>IF(Account!$F59&lt;&gt;"", DATEVALUE(MID($C59,4,3) &amp; LEFT($C59,3) &amp; RIGHT($C59,4)), "")</f>
        <v>43600</v>
      </c>
      <c r="Q59" s="35" t="str">
        <f t="array" ref="Q59">IF($R59&lt;&gt;"",IFERROR(INDEX(Investment!$A:$A,MATCH($R59,Investment!$H:$H,0))),)</f>
        <v>Intermediate US bonds (7-10 year)</v>
      </c>
      <c r="R59" s="36" t="str">
        <f t="array" ref="R59">IF(AND($Y59="change",$H59="EUR"),IF(AND($AA59="Crédit",$O59=$O60),$R60,IF(AND($AA59="Débit",$O59=$O58),$R58)),IF(OR(AND(OR($E59&lt;&gt;"",$M59=""),$N59&lt;&gt;0),$A59=""),IFERROR(INDEX(Investment!$H:$H,MATCH($E59,Investment!$F:$F,0))),IFERROR(INDEX($R60:$R1119,MATCH(SUBSTITUTE($I59,"-","",1),$K60:$K1119,0)),INDEX($R60:$R1119,MATCH($K59,$K60:$K1119,0)))))</f>
        <v>iShares Treasury Bond 7-10 UCITS</v>
      </c>
      <c r="S59" s="35" t="str">
        <f t="shared" si="2"/>
        <v>SELL</v>
      </c>
      <c r="T59" s="37">
        <f t="shared" si="3"/>
        <v>-6</v>
      </c>
      <c r="U59" s="38">
        <f t="shared" si="4"/>
        <v>177.46</v>
      </c>
      <c r="V59" s="31">
        <f t="shared" si="5"/>
        <v>1064.76</v>
      </c>
      <c r="W59" s="39" t="str">
        <f>IFERROR(__xludf.DUMMYFUNCTION(" IF(Account!$F59&lt;&gt;"""", SPLIT(Account!$F59, "" ""), """")"),"Vente")</f>
        <v>Vente</v>
      </c>
      <c r="X59" s="54">
        <f>IFERROR(__xludf.DUMMYFUNCTION("""COMPUTED_VALUE"""),6.0)</f>
        <v>6</v>
      </c>
      <c r="Y59" s="54" t="str">
        <f>IFERROR(__xludf.DUMMYFUNCTION("""COMPUTED_VALUE"""),"ISHARES")</f>
        <v>ISHARES</v>
      </c>
      <c r="Z59" s="54" t="str">
        <f>IFERROR(__xludf.DUMMYFUNCTION("""COMPUTED_VALUE"""),"US")</f>
        <v>US</v>
      </c>
      <c r="AA59" s="54" t="str">
        <f>IFERROR(__xludf.DUMMYFUNCTION("""COMPUTED_VALUE"""),"T")</f>
        <v>T</v>
      </c>
      <c r="AB59" s="54" t="str">
        <f>IFERROR(__xludf.DUMMYFUNCTION("""COMPUTED_VALUE"""),"7-10@177,46")</f>
        <v>7-10@177,46</v>
      </c>
      <c r="AC59" s="54" t="str">
        <f>IFERROR(__xludf.DUMMYFUNCTION("""COMPUTED_VALUE"""),"EUR")</f>
        <v>EUR</v>
      </c>
      <c r="AD59" s="54" t="str">
        <f>IFERROR(__xludf.DUMMYFUNCTION("""COMPUTED_VALUE"""),"(IE00B1FZS798)")</f>
        <v>(IE00B1FZS798)</v>
      </c>
      <c r="AE59" s="54"/>
      <c r="AF59" s="54"/>
      <c r="AG59" s="54"/>
      <c r="AH59" s="54"/>
      <c r="AI59" s="54"/>
      <c r="AJ59" s="54"/>
      <c r="AK59" s="54"/>
    </row>
    <row r="60">
      <c r="A60" s="10" t="s">
        <v>464</v>
      </c>
      <c r="B60" s="10" t="s">
        <v>465</v>
      </c>
      <c r="C60" s="10" t="s">
        <v>464</v>
      </c>
      <c r="D60" s="10" t="s">
        <v>107</v>
      </c>
      <c r="E60" s="10" t="s">
        <v>108</v>
      </c>
      <c r="F60" s="12" t="s">
        <v>466</v>
      </c>
      <c r="G60" s="10"/>
      <c r="H60" s="10" t="s">
        <v>70</v>
      </c>
      <c r="I60" s="10" t="s">
        <v>467</v>
      </c>
      <c r="J60" s="10" t="s">
        <v>70</v>
      </c>
      <c r="K60" s="10" t="s">
        <v>468</v>
      </c>
      <c r="L60" s="12" t="s">
        <v>469</v>
      </c>
      <c r="M60" s="29">
        <f t="shared" si="1"/>
        <v>461</v>
      </c>
      <c r="N60" s="31">
        <f>IFERROR(__xludf.DUMMYFUNCTION("IF(Account!$F60&lt;&gt;"""", VALUE(REGEXREPLACE($I60, ""\,"", ""."")), """")"),-3286.93)</f>
        <v>-3286.93</v>
      </c>
      <c r="O60" s="33">
        <f>IF(Account!$F60&lt;&gt;"", DATEVALUE(MID($A60,4,3) &amp; LEFT($A60,3) &amp; RIGHT($A60,4)) + TIMEVALUE($B60), "")</f>
        <v>43599.42569</v>
      </c>
      <c r="P60" s="34">
        <f>IF(Account!$F60&lt;&gt;"", DATEVALUE(MID($C60,4,3) &amp; LEFT($C60,3) &amp; RIGHT($C60,4)), "")</f>
        <v>43599</v>
      </c>
      <c r="Q60" s="35" t="str">
        <f t="array" ref="Q60">IF($R60&lt;&gt;"",IFERROR(INDEX(Investment!$A:$A,MATCH($R60,Investment!$H:$H,0))),)</f>
        <v>Commodities</v>
      </c>
      <c r="R60" s="36" t="str">
        <f t="array" ref="R60">IF(AND($Y60="change",$H60="EUR"),IF(AND($AA60="Crédit",$O60=$O61),$R61,IF(AND($AA60="Débit",$O60=$O59),$R59)),IF(OR(AND(OR($E60&lt;&gt;"",$M60=""),$N60&lt;&gt;0),$A60=""),IFERROR(INDEX(Investment!$H:$H,MATCH($E60,Investment!$F:$F,0))),IFERROR(INDEX($R61:$R1119,MATCH(SUBSTITUTE($I60,"-","",1),$K61:$K1119,0)),INDEX($R61:$R1119,MATCH($K60,$K61:$K1119,0)))))</f>
        <v>ETFS All Commodities ETC</v>
      </c>
      <c r="S60" s="35" t="str">
        <f t="shared" si="2"/>
        <v>BUY</v>
      </c>
      <c r="T60" s="37">
        <f t="shared" si="3"/>
        <v>461</v>
      </c>
      <c r="U60" s="38">
        <f t="shared" si="4"/>
        <v>7.13</v>
      </c>
      <c r="V60" s="31">
        <f t="shared" si="5"/>
        <v>-3286.93</v>
      </c>
      <c r="W60" s="39" t="str">
        <f>IFERROR(__xludf.DUMMYFUNCTION(" IF(Account!$F60&lt;&gt;"""", SPLIT(Account!$F60, "" ""), """")"),"Achat")</f>
        <v>Achat</v>
      </c>
      <c r="X60" s="54">
        <f>IFERROR(__xludf.DUMMYFUNCTION("""COMPUTED_VALUE"""),461.0)</f>
        <v>461</v>
      </c>
      <c r="Y60" s="54" t="str">
        <f>IFERROR(__xludf.DUMMYFUNCTION("""COMPUTED_VALUE"""),"ETFS")</f>
        <v>ETFS</v>
      </c>
      <c r="Z60" s="54" t="str">
        <f>IFERROR(__xludf.DUMMYFUNCTION("""COMPUTED_VALUE"""),"ALL")</f>
        <v>ALL</v>
      </c>
      <c r="AA60" s="54" t="str">
        <f>IFERROR(__xludf.DUMMYFUNCTION("""COMPUTED_VALUE"""),"COMMODIT.@7,13")</f>
        <v>COMMODIT.@7,13</v>
      </c>
      <c r="AB60" s="54" t="str">
        <f>IFERROR(__xludf.DUMMYFUNCTION("""COMPUTED_VALUE"""),"EUR")</f>
        <v>EUR</v>
      </c>
      <c r="AC60" s="54" t="str">
        <f>IFERROR(__xludf.DUMMYFUNCTION("""COMPUTED_VALUE"""),"(GB00B15KY989)")</f>
        <v>(GB00B15KY989)</v>
      </c>
      <c r="AD60" s="54"/>
      <c r="AE60" s="54"/>
      <c r="AF60" s="54"/>
      <c r="AG60" s="54"/>
      <c r="AH60" s="54"/>
      <c r="AI60" s="54"/>
      <c r="AJ60" s="54"/>
      <c r="AK60" s="54"/>
    </row>
    <row r="61">
      <c r="A61" s="10" t="s">
        <v>471</v>
      </c>
      <c r="B61" s="10" t="s">
        <v>472</v>
      </c>
      <c r="C61" s="10" t="s">
        <v>471</v>
      </c>
      <c r="D61" s="10" t="s">
        <v>83</v>
      </c>
      <c r="E61" s="10" t="s">
        <v>84</v>
      </c>
      <c r="F61" s="12" t="s">
        <v>222</v>
      </c>
      <c r="G61" s="10"/>
      <c r="H61" s="10" t="s">
        <v>70</v>
      </c>
      <c r="I61" s="10" t="s">
        <v>223</v>
      </c>
      <c r="J61" s="10" t="s">
        <v>70</v>
      </c>
      <c r="K61" s="10" t="s">
        <v>473</v>
      </c>
      <c r="L61" s="12" t="s">
        <v>474</v>
      </c>
      <c r="M61" s="29" t="str">
        <f t="shared" si="1"/>
        <v/>
      </c>
      <c r="N61" s="31">
        <f>IFERROR(__xludf.DUMMYFUNCTION("IF(Account!$F61&lt;&gt;"""", VALUE(REGEXREPLACE($I61, ""\,"", ""."")), """")"),-2.0)</f>
        <v>-2</v>
      </c>
      <c r="O61" s="33">
        <f>IF(Account!$F61&lt;&gt;"", DATEVALUE(MID($A61,4,3) &amp; LEFT($A61,3) &amp; RIGHT($A61,4)) + TIMEVALUE($B61), "")</f>
        <v>43598.69097</v>
      </c>
      <c r="P61" s="34">
        <f>IF(Account!$F61&lt;&gt;"", DATEVALUE(MID($C61,4,3) &amp; LEFT($C61,3) &amp; RIGHT($C61,4)), "")</f>
        <v>43598</v>
      </c>
      <c r="Q61" s="35" t="str">
        <f t="array" ref="Q61">IF($R61&lt;&gt;"",IFERROR(INDEX(Investment!$A:$A,MATCH($R61,Investment!$H:$H,0))),)</f>
        <v>Long term US bonds (20-25 year)</v>
      </c>
      <c r="R61" s="36" t="str">
        <f t="array" ref="R61">IF(AND($Y61="change",$H61="EUR"),IF(AND($AA61="Crédit",$O61=$O62),$R62,IF(AND($AA61="Débit",$O61=$O60),$R60)),IF(OR(AND(OR($E61&lt;&gt;"",$M61=""),$N61&lt;&gt;0),$A61=""),IFERROR(INDEX(Investment!$H:$H,MATCH($E61,Investment!$F:$F,0))),IFERROR(INDEX($R62:$R1119,MATCH(SUBSTITUTE($I61,"-","",1),$K62:$K1119,0)),INDEX($R62:$R1119,MATCH($K61,$K62:$K1119,0)))))</f>
        <v>iShares Treasury Bond 20+ UCITS</v>
      </c>
      <c r="S61" s="35" t="str">
        <f t="shared" si="2"/>
        <v>COST</v>
      </c>
      <c r="T61" s="37" t="str">
        <f t="shared" si="3"/>
        <v/>
      </c>
      <c r="U61" s="38" t="str">
        <f t="shared" si="4"/>
        <v/>
      </c>
      <c r="V61" s="31">
        <f t="shared" si="5"/>
        <v>-2.46</v>
      </c>
      <c r="W61" s="39" t="str">
        <f>IFERROR(__xludf.DUMMYFUNCTION(" IF(Account!$F61&lt;&gt;"""", SPLIT(Account!$F61, "" ""), """")"),"Frais")</f>
        <v>Frais</v>
      </c>
      <c r="X61" s="54" t="str">
        <f>IFERROR(__xludf.DUMMYFUNCTION("""COMPUTED_VALUE"""),"de")</f>
        <v>de</v>
      </c>
      <c r="Y61" s="54" t="str">
        <f>IFERROR(__xludf.DUMMYFUNCTION("""COMPUTED_VALUE"""),"courtage")</f>
        <v>courtage</v>
      </c>
      <c r="Z61" s="54"/>
      <c r="AA61" s="54"/>
      <c r="AB61" s="54"/>
      <c r="AC61" s="54"/>
      <c r="AD61" s="54"/>
      <c r="AE61" s="54"/>
      <c r="AF61" s="54"/>
      <c r="AG61" s="54"/>
      <c r="AH61" s="54"/>
      <c r="AI61" s="54"/>
      <c r="AJ61" s="54"/>
      <c r="AK61" s="54"/>
    </row>
    <row r="62">
      <c r="A62" s="10" t="s">
        <v>471</v>
      </c>
      <c r="B62" s="10" t="s">
        <v>472</v>
      </c>
      <c r="C62" s="10" t="s">
        <v>471</v>
      </c>
      <c r="D62" s="10" t="s">
        <v>83</v>
      </c>
      <c r="E62" s="10" t="s">
        <v>84</v>
      </c>
      <c r="F62" s="12" t="s">
        <v>222</v>
      </c>
      <c r="G62" s="10"/>
      <c r="H62" s="10" t="s">
        <v>70</v>
      </c>
      <c r="I62" s="10" t="s">
        <v>228</v>
      </c>
      <c r="J62" s="10" t="s">
        <v>70</v>
      </c>
      <c r="K62" s="10" t="s">
        <v>479</v>
      </c>
      <c r="L62" s="12" t="s">
        <v>474</v>
      </c>
      <c r="M62" s="29" t="str">
        <f t="shared" si="1"/>
        <v/>
      </c>
      <c r="N62" s="31">
        <f>IFERROR(__xludf.DUMMYFUNCTION("IF(Account!$F62&lt;&gt;"""", VALUE(REGEXREPLACE($I62, ""\,"", ""."")), """")"),-0.46)</f>
        <v>-0.46</v>
      </c>
      <c r="O62" s="33">
        <f>IF(Account!$F62&lt;&gt;"", DATEVALUE(MID($A62,4,3) &amp; LEFT($A62,3) &amp; RIGHT($A62,4)) + TIMEVALUE($B62), "")</f>
        <v>43598.69097</v>
      </c>
      <c r="P62" s="34">
        <f>IF(Account!$F62&lt;&gt;"", DATEVALUE(MID($C62,4,3) &amp; LEFT($C62,3) &amp; RIGHT($C62,4)), "")</f>
        <v>43598</v>
      </c>
      <c r="Q62" s="35" t="str">
        <f t="array" ref="Q62">IF($R62&lt;&gt;"",IFERROR(INDEX(Investment!$A:$A,MATCH($R62,Investment!$H:$H,0))),)</f>
        <v>Long term US bonds (20-25 year)</v>
      </c>
      <c r="R62" s="36" t="str">
        <f t="array" ref="R62">IF(AND($Y62="change",$H62="EUR"),IF(AND($AA62="Crédit",$O62=$O63),$R63,IF(AND($AA62="Débit",$O62=$O61),$R61)),IF(OR(AND(OR($E62&lt;&gt;"",$M62=""),$N62&lt;&gt;0),$A62=""),IFERROR(INDEX(Investment!$H:$H,MATCH($E62,Investment!$F:$F,0))),IFERROR(INDEX($R63:$R1119,MATCH(SUBSTITUTE($I62,"-","",1),$K63:$K1119,0)),INDEX($R63:$R1119,MATCH($K62,$K63:$K1119,0)))))</f>
        <v>iShares Treasury Bond 20+ UCITS</v>
      </c>
      <c r="S62" s="35" t="str">
        <f t="shared" si="2"/>
        <v>COST</v>
      </c>
      <c r="T62" s="37" t="str">
        <f t="shared" si="3"/>
        <v/>
      </c>
      <c r="U62" s="38" t="str">
        <f t="shared" si="4"/>
        <v/>
      </c>
      <c r="V62" s="31">
        <f t="shared" si="5"/>
        <v>-2.46</v>
      </c>
      <c r="W62" s="39" t="str">
        <f>IFERROR(__xludf.DUMMYFUNCTION(" IF(Account!$F62&lt;&gt;"""", SPLIT(Account!$F62, "" ""), """")"),"Frais")</f>
        <v>Frais</v>
      </c>
      <c r="X62" s="54" t="str">
        <f>IFERROR(__xludf.DUMMYFUNCTION("""COMPUTED_VALUE"""),"de")</f>
        <v>de</v>
      </c>
      <c r="Y62" s="54" t="str">
        <f>IFERROR(__xludf.DUMMYFUNCTION("""COMPUTED_VALUE"""),"courtage")</f>
        <v>courtage</v>
      </c>
      <c r="Z62" s="54"/>
      <c r="AA62" s="54"/>
      <c r="AB62" s="54"/>
      <c r="AC62" s="54"/>
      <c r="AD62" s="54"/>
      <c r="AE62" s="54"/>
      <c r="AF62" s="54"/>
      <c r="AG62" s="54"/>
      <c r="AH62" s="54"/>
      <c r="AI62" s="54"/>
      <c r="AJ62" s="54"/>
      <c r="AK62" s="54"/>
    </row>
    <row r="63">
      <c r="A63" s="10" t="s">
        <v>471</v>
      </c>
      <c r="B63" s="10" t="s">
        <v>472</v>
      </c>
      <c r="C63" s="10" t="s">
        <v>471</v>
      </c>
      <c r="D63" s="10" t="s">
        <v>83</v>
      </c>
      <c r="E63" s="10" t="s">
        <v>84</v>
      </c>
      <c r="F63" s="12" t="s">
        <v>481</v>
      </c>
      <c r="G63" s="10"/>
      <c r="H63" s="10" t="s">
        <v>70</v>
      </c>
      <c r="I63" s="10" t="s">
        <v>482</v>
      </c>
      <c r="J63" s="10" t="s">
        <v>70</v>
      </c>
      <c r="K63" s="10" t="s">
        <v>483</v>
      </c>
      <c r="L63" s="12" t="s">
        <v>474</v>
      </c>
      <c r="M63" s="29">
        <f t="shared" si="1"/>
        <v>-552</v>
      </c>
      <c r="N63" s="31">
        <f>IFERROR(__xludf.DUMMYFUNCTION("IF(Account!$F63&lt;&gt;"""", VALUE(REGEXREPLACE($I63, ""\,"", ""."")), """")"),2320.83)</f>
        <v>2320.83</v>
      </c>
      <c r="O63" s="33">
        <f>IF(Account!$F63&lt;&gt;"", DATEVALUE(MID($A63,4,3) &amp; LEFT($A63,3) &amp; RIGHT($A63,4)) + TIMEVALUE($B63), "")</f>
        <v>43598.69097</v>
      </c>
      <c r="P63" s="34">
        <f>IF(Account!$F63&lt;&gt;"", DATEVALUE(MID($C63,4,3) &amp; LEFT($C63,3) &amp; RIGHT($C63,4)), "")</f>
        <v>43598</v>
      </c>
      <c r="Q63" s="35" t="str">
        <f t="array" ref="Q63">IF($R63&lt;&gt;"",IFERROR(INDEX(Investment!$A:$A,MATCH($R63,Investment!$H:$H,0))),)</f>
        <v>Long term US bonds (20-25 year)</v>
      </c>
      <c r="R63" s="36" t="str">
        <f t="array" ref="R63">IF(AND($Y63="change",$H63="EUR"),IF(AND($AA63="Crédit",$O63=$O64),$R64,IF(AND($AA63="Débit",$O63=$O62),$R62)),IF(OR(AND(OR($E63&lt;&gt;"",$M63=""),$N63&lt;&gt;0),$A63=""),IFERROR(INDEX(Investment!$H:$H,MATCH($E63,Investment!$F:$F,0))),IFERROR(INDEX($R64:$R1119,MATCH(SUBSTITUTE($I63,"-","",1),$K64:$K1119,0)),INDEX($R64:$R1119,MATCH($K63,$K64:$K1119,0)))))</f>
        <v>iShares Treasury Bond 20+ UCITS</v>
      </c>
      <c r="S63" s="35" t="str">
        <f t="shared" si="2"/>
        <v>SELL</v>
      </c>
      <c r="T63" s="37">
        <f t="shared" si="3"/>
        <v>-552</v>
      </c>
      <c r="U63" s="38">
        <f t="shared" si="4"/>
        <v>4.204402174</v>
      </c>
      <c r="V63" s="31">
        <f t="shared" si="5"/>
        <v>2320.83</v>
      </c>
      <c r="W63" s="39" t="str">
        <f>IFERROR(__xludf.DUMMYFUNCTION(" IF(Account!$F63&lt;&gt;"""", SPLIT(Account!$F63, "" ""), """")"),"Vente")</f>
        <v>Vente</v>
      </c>
      <c r="X63" s="54">
        <f>IFERROR(__xludf.DUMMYFUNCTION("""COMPUTED_VALUE"""),552.0)</f>
        <v>552</v>
      </c>
      <c r="Y63" s="54" t="str">
        <f>IFERROR(__xludf.DUMMYFUNCTION("""COMPUTED_VALUE"""),"ISHSIV-DL")</f>
        <v>ISHSIV-DL</v>
      </c>
      <c r="Z63" s="54" t="str">
        <f>IFERROR(__xludf.DUMMYFUNCTION("""COMPUTED_VALUE"""),"T.BD20+YR")</f>
        <v>T.BD20+YR</v>
      </c>
      <c r="AA63" s="54" t="str">
        <f>IFERROR(__xludf.DUMMYFUNCTION("""COMPUTED_VALUE"""),"DL")</f>
        <v>DL</v>
      </c>
      <c r="AB63" s="54" t="str">
        <f>IFERROR(__xludf.DUMMYFUNCTION("""COMPUTED_VALUE"""),"D@4,2044")</f>
        <v>D@4,2044</v>
      </c>
      <c r="AC63" s="54" t="str">
        <f>IFERROR(__xludf.DUMMYFUNCTION("""COMPUTED_VALUE"""),"EUR")</f>
        <v>EUR</v>
      </c>
      <c r="AD63" s="54" t="str">
        <f>IFERROR(__xludf.DUMMYFUNCTION("""COMPUTED_VALUE"""),"(IE00BSKRJZ44)")</f>
        <v>(IE00BSKRJZ44)</v>
      </c>
      <c r="AE63" s="54"/>
      <c r="AF63" s="54"/>
      <c r="AG63" s="54"/>
      <c r="AH63" s="54"/>
      <c r="AI63" s="54"/>
      <c r="AJ63" s="54"/>
      <c r="AK63" s="54"/>
    </row>
    <row r="64">
      <c r="A64" s="10" t="s">
        <v>485</v>
      </c>
      <c r="B64" s="10" t="s">
        <v>486</v>
      </c>
      <c r="C64" s="10" t="s">
        <v>485</v>
      </c>
      <c r="D64" s="10"/>
      <c r="E64" s="10"/>
      <c r="F64" s="12" t="s">
        <v>188</v>
      </c>
      <c r="G64" s="10"/>
      <c r="H64" s="10" t="s">
        <v>70</v>
      </c>
      <c r="I64" s="10" t="s">
        <v>487</v>
      </c>
      <c r="J64" s="10" t="s">
        <v>70</v>
      </c>
      <c r="K64" s="10" t="s">
        <v>488</v>
      </c>
      <c r="L64" s="12"/>
      <c r="M64" s="29" t="str">
        <f t="shared" si="1"/>
        <v/>
      </c>
      <c r="N64" s="31">
        <f>IFERROR(__xludf.DUMMYFUNCTION("IF(Account!$F64&lt;&gt;"""", VALUE(REGEXREPLACE($I64, ""\,"", ""."")), """")"),-500.0)</f>
        <v>-500</v>
      </c>
      <c r="O64" s="33">
        <f>IF(Account!$F64&lt;&gt;"", DATEVALUE(MID($A64,4,3) &amp; LEFT($A64,3) &amp; RIGHT($A64,4)) + TIMEVALUE($B64), "")</f>
        <v>43596.90694</v>
      </c>
      <c r="P64" s="34">
        <f>IF(Account!$F64&lt;&gt;"", DATEVALUE(MID($C64,4,3) &amp; LEFT($C64,3) &amp; RIGHT($C64,4)), "")</f>
        <v>43596</v>
      </c>
      <c r="Q64" s="35" t="str">
        <f t="array" ref="Q64">IF($R64&lt;&gt;"",IFERROR(INDEX(Investment!$A:$A,MATCH($R64,Investment!$H:$H,0))),)</f>
        <v/>
      </c>
      <c r="R64" s="36" t="str">
        <f t="array" ref="R64">IF(AND($Y64="change",$H64="EUR"),IF(AND($AA64="Crédit",$O64=$O65),$R65,IF(AND($AA64="Débit",$O64=$O63),$R63)),IF(OR(AND(OR($E64&lt;&gt;"",$M64=""),$N64&lt;&gt;0),$A64=""),IFERROR(INDEX(Investment!$H:$H,MATCH($E64,Investment!$F:$F,0))),IFERROR(INDEX($R65:$R1119,MATCH(SUBSTITUTE($I64,"-","",1),$K65:$K1119,0)),INDEX($R65:$R1119,MATCH($K64,$K65:$K1119,0)))))</f>
        <v/>
      </c>
      <c r="S64" s="35" t="str">
        <f t="shared" si="2"/>
        <v>APPROVISIONNEMENT</v>
      </c>
      <c r="T64" s="37" t="str">
        <f t="shared" si="3"/>
        <v/>
      </c>
      <c r="U64" s="38" t="str">
        <f t="shared" si="4"/>
        <v/>
      </c>
      <c r="V64" s="31">
        <f t="shared" si="5"/>
        <v>-500</v>
      </c>
      <c r="W64" s="39" t="str">
        <f>IFERROR(__xludf.DUMMYFUNCTION(" IF(Account!$F64&lt;&gt;"""", SPLIT(Account!$F64, "" ""), """")"),"Retrait")</f>
        <v>Retrait</v>
      </c>
      <c r="X64" s="54" t="str">
        <f>IFERROR(__xludf.DUMMYFUNCTION("""COMPUTED_VALUE"""),"de")</f>
        <v>de</v>
      </c>
      <c r="Y64" s="54" t="str">
        <f>IFERROR(__xludf.DUMMYFUNCTION("""COMPUTED_VALUE"""),"fonds")</f>
        <v>fonds</v>
      </c>
      <c r="Z64" s="54"/>
      <c r="AA64" s="54"/>
      <c r="AB64" s="54"/>
      <c r="AC64" s="54"/>
      <c r="AD64" s="54"/>
      <c r="AE64" s="54"/>
      <c r="AF64" s="54"/>
      <c r="AG64" s="54"/>
      <c r="AH64" s="54"/>
      <c r="AI64" s="54"/>
      <c r="AJ64" s="54"/>
      <c r="AK64" s="54"/>
    </row>
    <row r="65">
      <c r="A65" s="10" t="s">
        <v>491</v>
      </c>
      <c r="B65" s="10" t="s">
        <v>492</v>
      </c>
      <c r="C65" s="10" t="s">
        <v>491</v>
      </c>
      <c r="D65" s="10" t="s">
        <v>83</v>
      </c>
      <c r="E65" s="10" t="s">
        <v>84</v>
      </c>
      <c r="F65" s="12" t="s">
        <v>222</v>
      </c>
      <c r="G65" s="10"/>
      <c r="H65" s="10" t="s">
        <v>70</v>
      </c>
      <c r="I65" s="10" t="s">
        <v>223</v>
      </c>
      <c r="J65" s="10" t="s">
        <v>70</v>
      </c>
      <c r="K65" s="10" t="s">
        <v>493</v>
      </c>
      <c r="L65" s="12" t="s">
        <v>494</v>
      </c>
      <c r="M65" s="29" t="str">
        <f t="shared" si="1"/>
        <v/>
      </c>
      <c r="N65" s="31">
        <f>IFERROR(__xludf.DUMMYFUNCTION("IF(Account!$F65&lt;&gt;"""", VALUE(REGEXREPLACE($I65, ""\,"", ""."")), """")"),-2.0)</f>
        <v>-2</v>
      </c>
      <c r="O65" s="33">
        <f>IF(Account!$F65&lt;&gt;"", DATEVALUE(MID($A65,4,3) &amp; LEFT($A65,3) &amp; RIGHT($A65,4)) + TIMEVALUE($B65), "")</f>
        <v>43593.53194</v>
      </c>
      <c r="P65" s="34">
        <f>IF(Account!$F65&lt;&gt;"", DATEVALUE(MID($C65,4,3) &amp; LEFT($C65,3) &amp; RIGHT($C65,4)), "")</f>
        <v>43593</v>
      </c>
      <c r="Q65" s="35" t="str">
        <f t="array" ref="Q65">IF($R65&lt;&gt;"",IFERROR(INDEX(Investment!$A:$A,MATCH($R65,Investment!$H:$H,0))),)</f>
        <v>Long term US bonds (20-25 year)</v>
      </c>
      <c r="R65" s="36" t="str">
        <f t="array" ref="R65">IF(AND($Y65="change",$H65="EUR"),IF(AND($AA65="Crédit",$O65=$O66),$R66,IF(AND($AA65="Débit",$O65=$O64),$R64)),IF(OR(AND(OR($E65&lt;&gt;"",$M65=""),$N65&lt;&gt;0),$A65=""),IFERROR(INDEX(Investment!$H:$H,MATCH($E65,Investment!$F:$F,0))),IFERROR(INDEX($R66:$R1119,MATCH(SUBSTITUTE($I65,"-","",1),$K66:$K1119,0)),INDEX($R66:$R1119,MATCH($K65,$K66:$K1119,0)))))</f>
        <v>iShares Treasury Bond 20+ UCITS</v>
      </c>
      <c r="S65" s="35" t="str">
        <f t="shared" si="2"/>
        <v>COST</v>
      </c>
      <c r="T65" s="37" t="str">
        <f t="shared" si="3"/>
        <v/>
      </c>
      <c r="U65" s="38" t="str">
        <f t="shared" si="4"/>
        <v/>
      </c>
      <c r="V65" s="31">
        <f t="shared" si="5"/>
        <v>-2.35</v>
      </c>
      <c r="W65" s="39" t="str">
        <f>IFERROR(__xludf.DUMMYFUNCTION(" IF(Account!$F65&lt;&gt;"""", SPLIT(Account!$F65, "" ""), """")"),"Frais")</f>
        <v>Frais</v>
      </c>
      <c r="X65" s="54" t="str">
        <f>IFERROR(__xludf.DUMMYFUNCTION("""COMPUTED_VALUE"""),"de")</f>
        <v>de</v>
      </c>
      <c r="Y65" s="54" t="str">
        <f>IFERROR(__xludf.DUMMYFUNCTION("""COMPUTED_VALUE"""),"courtage")</f>
        <v>courtage</v>
      </c>
      <c r="Z65" s="54"/>
      <c r="AA65" s="54"/>
      <c r="AB65" s="54"/>
      <c r="AC65" s="54"/>
      <c r="AD65" s="54"/>
      <c r="AE65" s="54"/>
      <c r="AF65" s="54"/>
      <c r="AG65" s="54"/>
      <c r="AH65" s="54"/>
      <c r="AI65" s="54"/>
      <c r="AJ65" s="54"/>
      <c r="AK65" s="54"/>
    </row>
    <row r="66">
      <c r="A66" s="10" t="s">
        <v>491</v>
      </c>
      <c r="B66" s="10" t="s">
        <v>492</v>
      </c>
      <c r="C66" s="10" t="s">
        <v>491</v>
      </c>
      <c r="D66" s="10" t="s">
        <v>83</v>
      </c>
      <c r="E66" s="10" t="s">
        <v>84</v>
      </c>
      <c r="F66" s="12" t="s">
        <v>222</v>
      </c>
      <c r="G66" s="10"/>
      <c r="H66" s="10" t="s">
        <v>70</v>
      </c>
      <c r="I66" s="10" t="s">
        <v>496</v>
      </c>
      <c r="J66" s="10" t="s">
        <v>70</v>
      </c>
      <c r="K66" s="10" t="s">
        <v>497</v>
      </c>
      <c r="L66" s="12" t="s">
        <v>494</v>
      </c>
      <c r="M66" s="29" t="str">
        <f t="shared" si="1"/>
        <v/>
      </c>
      <c r="N66" s="31">
        <f>IFERROR(__xludf.DUMMYFUNCTION("IF(Account!$F66&lt;&gt;"""", VALUE(REGEXREPLACE($I66, ""\,"", ""."")), """")"),-0.35)</f>
        <v>-0.35</v>
      </c>
      <c r="O66" s="33">
        <f>IF(Account!$F66&lt;&gt;"", DATEVALUE(MID($A66,4,3) &amp; LEFT($A66,3) &amp; RIGHT($A66,4)) + TIMEVALUE($B66), "")</f>
        <v>43593.53194</v>
      </c>
      <c r="P66" s="34">
        <f>IF(Account!$F66&lt;&gt;"", DATEVALUE(MID($C66,4,3) &amp; LEFT($C66,3) &amp; RIGHT($C66,4)), "")</f>
        <v>43593</v>
      </c>
      <c r="Q66" s="35" t="str">
        <f t="array" ref="Q66">IF($R66&lt;&gt;"",IFERROR(INDEX(Investment!$A:$A,MATCH($R66,Investment!$H:$H,0))),)</f>
        <v>Long term US bonds (20-25 year)</v>
      </c>
      <c r="R66" s="36" t="str">
        <f t="array" ref="R66">IF(AND($Y66="change",$H66="EUR"),IF(AND($AA66="Crédit",$O66=$O67),$R67,IF(AND($AA66="Débit",$O66=$O65),$R65)),IF(OR(AND(OR($E66&lt;&gt;"",$M66=""),$N66&lt;&gt;0),$A66=""),IFERROR(INDEX(Investment!$H:$H,MATCH($E66,Investment!$F:$F,0))),IFERROR(INDEX($R67:$R1119,MATCH(SUBSTITUTE($I66,"-","",1),$K67:$K1119,0)),INDEX($R67:$R1119,MATCH($K66,$K67:$K1119,0)))))</f>
        <v>iShares Treasury Bond 20+ UCITS</v>
      </c>
      <c r="S66" s="35" t="str">
        <f t="shared" si="2"/>
        <v>COST</v>
      </c>
      <c r="T66" s="37" t="str">
        <f t="shared" si="3"/>
        <v/>
      </c>
      <c r="U66" s="38" t="str">
        <f t="shared" si="4"/>
        <v/>
      </c>
      <c r="V66" s="31">
        <f t="shared" si="5"/>
        <v>-2.35</v>
      </c>
      <c r="W66" s="39" t="str">
        <f>IFERROR(__xludf.DUMMYFUNCTION(" IF(Account!$F66&lt;&gt;"""", SPLIT(Account!$F66, "" ""), """")"),"Frais")</f>
        <v>Frais</v>
      </c>
      <c r="X66" s="54" t="str">
        <f>IFERROR(__xludf.DUMMYFUNCTION("""COMPUTED_VALUE"""),"de")</f>
        <v>de</v>
      </c>
      <c r="Y66" s="54" t="str">
        <f>IFERROR(__xludf.DUMMYFUNCTION("""COMPUTED_VALUE"""),"courtage")</f>
        <v>courtage</v>
      </c>
      <c r="Z66" s="54"/>
      <c r="AA66" s="54"/>
      <c r="AB66" s="54"/>
      <c r="AC66" s="54"/>
      <c r="AD66" s="54"/>
      <c r="AE66" s="54"/>
      <c r="AF66" s="54"/>
      <c r="AG66" s="54"/>
      <c r="AH66" s="54"/>
      <c r="AI66" s="54"/>
      <c r="AJ66" s="54"/>
      <c r="AK66" s="54"/>
    </row>
    <row r="67">
      <c r="A67" s="10" t="s">
        <v>491</v>
      </c>
      <c r="B67" s="10" t="s">
        <v>492</v>
      </c>
      <c r="C67" s="10" t="s">
        <v>491</v>
      </c>
      <c r="D67" s="10" t="s">
        <v>83</v>
      </c>
      <c r="E67" s="10" t="s">
        <v>84</v>
      </c>
      <c r="F67" s="12" t="s">
        <v>500</v>
      </c>
      <c r="G67" s="10"/>
      <c r="H67" s="10" t="s">
        <v>70</v>
      </c>
      <c r="I67" s="10" t="s">
        <v>501</v>
      </c>
      <c r="J67" s="10" t="s">
        <v>70</v>
      </c>
      <c r="K67" s="10" t="s">
        <v>502</v>
      </c>
      <c r="L67" s="12" t="s">
        <v>494</v>
      </c>
      <c r="M67" s="29">
        <f t="shared" si="1"/>
        <v>-412</v>
      </c>
      <c r="N67" s="31">
        <f>IFERROR(__xludf.DUMMYFUNCTION("IF(Account!$F67&lt;&gt;"""", VALUE(REGEXREPLACE($I67, ""\,"", ""."")), """")"),1738.97)</f>
        <v>1738.97</v>
      </c>
      <c r="O67" s="33">
        <f>IF(Account!$F67&lt;&gt;"", DATEVALUE(MID($A67,4,3) &amp; LEFT($A67,3) &amp; RIGHT($A67,4)) + TIMEVALUE($B67), "")</f>
        <v>43593.53194</v>
      </c>
      <c r="P67" s="34">
        <f>IF(Account!$F67&lt;&gt;"", DATEVALUE(MID($C67,4,3) &amp; LEFT($C67,3) &amp; RIGHT($C67,4)), "")</f>
        <v>43593</v>
      </c>
      <c r="Q67" s="35" t="str">
        <f t="array" ref="Q67">IF($R67&lt;&gt;"",IFERROR(INDEX(Investment!$A:$A,MATCH($R67,Investment!$H:$H,0))),)</f>
        <v>Long term US bonds (20-25 year)</v>
      </c>
      <c r="R67" s="36" t="str">
        <f t="array" ref="R67">IF(AND($Y67="change",$H67="EUR"),IF(AND($AA67="Crédit",$O67=$O68),$R68,IF(AND($AA67="Débit",$O67=$O66),$R66)),IF(OR(AND(OR($E67&lt;&gt;"",$M67=""),$N67&lt;&gt;0),$A67=""),IFERROR(INDEX(Investment!$H:$H,MATCH($E67,Investment!$F:$F,0))),IFERROR(INDEX($R68:$R1119,MATCH(SUBSTITUTE($I67,"-","",1),$K68:$K1119,0)),INDEX($R68:$R1119,MATCH($K67,$K68:$K1119,0)))))</f>
        <v>iShares Treasury Bond 20+ UCITS</v>
      </c>
      <c r="S67" s="35" t="str">
        <f t="shared" si="2"/>
        <v>SELL</v>
      </c>
      <c r="T67" s="37">
        <f t="shared" si="3"/>
        <v>-412</v>
      </c>
      <c r="U67" s="38">
        <f t="shared" si="4"/>
        <v>4.220800971</v>
      </c>
      <c r="V67" s="31">
        <f t="shared" si="5"/>
        <v>1738.97</v>
      </c>
      <c r="W67" s="39" t="str">
        <f>IFERROR(__xludf.DUMMYFUNCTION(" IF(Account!$F67&lt;&gt;"""", SPLIT(Account!$F67, "" ""), """")"),"Vente")</f>
        <v>Vente</v>
      </c>
      <c r="X67" s="54">
        <f>IFERROR(__xludf.DUMMYFUNCTION("""COMPUTED_VALUE"""),412.0)</f>
        <v>412</v>
      </c>
      <c r="Y67" s="54" t="str">
        <f>IFERROR(__xludf.DUMMYFUNCTION("""COMPUTED_VALUE"""),"ISHSIV-DL")</f>
        <v>ISHSIV-DL</v>
      </c>
      <c r="Z67" s="54" t="str">
        <f>IFERROR(__xludf.DUMMYFUNCTION("""COMPUTED_VALUE"""),"T.BD20+YR")</f>
        <v>T.BD20+YR</v>
      </c>
      <c r="AA67" s="54" t="str">
        <f>IFERROR(__xludf.DUMMYFUNCTION("""COMPUTED_VALUE"""),"DL")</f>
        <v>DL</v>
      </c>
      <c r="AB67" s="54" t="str">
        <f>IFERROR(__xludf.DUMMYFUNCTION("""COMPUTED_VALUE"""),"D@4,2208")</f>
        <v>D@4,2208</v>
      </c>
      <c r="AC67" s="54" t="str">
        <f>IFERROR(__xludf.DUMMYFUNCTION("""COMPUTED_VALUE"""),"EUR")</f>
        <v>EUR</v>
      </c>
      <c r="AD67" s="54" t="str">
        <f>IFERROR(__xludf.DUMMYFUNCTION("""COMPUTED_VALUE"""),"(IE00BSKRJZ44)")</f>
        <v>(IE00BSKRJZ44)</v>
      </c>
      <c r="AE67" s="54"/>
      <c r="AF67" s="54"/>
      <c r="AG67" s="54"/>
      <c r="AH67" s="54"/>
      <c r="AI67" s="54"/>
      <c r="AJ67" s="54"/>
      <c r="AK67" s="54"/>
    </row>
    <row r="68">
      <c r="A68" s="10" t="s">
        <v>491</v>
      </c>
      <c r="B68" s="10" t="s">
        <v>504</v>
      </c>
      <c r="C68" s="10" t="s">
        <v>491</v>
      </c>
      <c r="D68" s="10" t="s">
        <v>241</v>
      </c>
      <c r="E68" s="10" t="s">
        <v>242</v>
      </c>
      <c r="F68" s="12" t="s">
        <v>505</v>
      </c>
      <c r="G68" s="10"/>
      <c r="H68" s="10" t="s">
        <v>70</v>
      </c>
      <c r="I68" s="10" t="s">
        <v>506</v>
      </c>
      <c r="J68" s="10" t="s">
        <v>70</v>
      </c>
      <c r="K68" s="10" t="s">
        <v>507</v>
      </c>
      <c r="L68" s="12" t="s">
        <v>508</v>
      </c>
      <c r="M68" s="29">
        <f t="shared" si="1"/>
        <v>-7</v>
      </c>
      <c r="N68" s="31">
        <f>IFERROR(__xludf.DUMMYFUNCTION("IF(Account!$F68&lt;&gt;"""", VALUE(REGEXREPLACE($I68, ""\,"", ""."")), """")"),1233.4)</f>
        <v>1233.4</v>
      </c>
      <c r="O68" s="33">
        <f>IF(Account!$F68&lt;&gt;"", DATEVALUE(MID($A68,4,3) &amp; LEFT($A68,3) &amp; RIGHT($A68,4)) + TIMEVALUE($B68), "")</f>
        <v>43593.51111</v>
      </c>
      <c r="P68" s="34">
        <f>IF(Account!$F68&lt;&gt;"", DATEVALUE(MID($C68,4,3) &amp; LEFT($C68,3) &amp; RIGHT($C68,4)), "")</f>
        <v>43593</v>
      </c>
      <c r="Q68" s="35" t="str">
        <f t="array" ref="Q68">IF($R68&lt;&gt;"",IFERROR(INDEX(Investment!$A:$A,MATCH($R68,Investment!$H:$H,0))),)</f>
        <v>Intermediate US bonds (7-10 year)</v>
      </c>
      <c r="R68" s="36" t="str">
        <f t="array" ref="R68">IF(AND($Y68="change",$H68="EUR"),IF(AND($AA68="Crédit",$O68=$O69),$R69,IF(AND($AA68="Débit",$O68=$O67),$R67)),IF(OR(AND(OR($E68&lt;&gt;"",$M68=""),$N68&lt;&gt;0),$A68=""),IFERROR(INDEX(Investment!$H:$H,MATCH($E68,Investment!$F:$F,0))),IFERROR(INDEX($R69:$R1119,MATCH(SUBSTITUTE($I68,"-","",1),$K69:$K1119,0)),INDEX($R69:$R1119,MATCH($K68,$K69:$K1119,0)))))</f>
        <v>iShares Treasury Bond 7-10 UCITS</v>
      </c>
      <c r="S68" s="35" t="str">
        <f t="shared" si="2"/>
        <v>SELL</v>
      </c>
      <c r="T68" s="37">
        <f t="shared" si="3"/>
        <v>-7</v>
      </c>
      <c r="U68" s="38">
        <f t="shared" si="4"/>
        <v>176.2</v>
      </c>
      <c r="V68" s="31">
        <f t="shared" si="5"/>
        <v>1233.4</v>
      </c>
      <c r="W68" s="39" t="str">
        <f>IFERROR(__xludf.DUMMYFUNCTION(" IF(Account!$F68&lt;&gt;"""", SPLIT(Account!$F68, "" ""), """")"),"Vente")</f>
        <v>Vente</v>
      </c>
      <c r="X68" s="54">
        <f>IFERROR(__xludf.DUMMYFUNCTION("""COMPUTED_VALUE"""),7.0)</f>
        <v>7</v>
      </c>
      <c r="Y68" s="54" t="str">
        <f>IFERROR(__xludf.DUMMYFUNCTION("""COMPUTED_VALUE"""),"ISHARES")</f>
        <v>ISHARES</v>
      </c>
      <c r="Z68" s="54" t="str">
        <f>IFERROR(__xludf.DUMMYFUNCTION("""COMPUTED_VALUE"""),"US")</f>
        <v>US</v>
      </c>
      <c r="AA68" s="54" t="str">
        <f>IFERROR(__xludf.DUMMYFUNCTION("""COMPUTED_VALUE"""),"T")</f>
        <v>T</v>
      </c>
      <c r="AB68" s="54" t="str">
        <f>IFERROR(__xludf.DUMMYFUNCTION("""COMPUTED_VALUE"""),"7-10@176,2")</f>
        <v>7-10@176,2</v>
      </c>
      <c r="AC68" s="54" t="str">
        <f>IFERROR(__xludf.DUMMYFUNCTION("""COMPUTED_VALUE"""),"EUR")</f>
        <v>EUR</v>
      </c>
      <c r="AD68" s="54" t="str">
        <f>IFERROR(__xludf.DUMMYFUNCTION("""COMPUTED_VALUE"""),"(IE00B1FZS798)")</f>
        <v>(IE00B1FZS798)</v>
      </c>
      <c r="AE68" s="54"/>
      <c r="AF68" s="54"/>
      <c r="AG68" s="54"/>
      <c r="AH68" s="54"/>
      <c r="AI68" s="54"/>
      <c r="AJ68" s="54"/>
      <c r="AK68" s="54"/>
    </row>
    <row r="69">
      <c r="A69" s="10" t="s">
        <v>491</v>
      </c>
      <c r="B69" s="10" t="s">
        <v>511</v>
      </c>
      <c r="C69" s="10" t="s">
        <v>491</v>
      </c>
      <c r="D69" s="10" t="s">
        <v>83</v>
      </c>
      <c r="E69" s="10" t="s">
        <v>84</v>
      </c>
      <c r="F69" s="12" t="s">
        <v>222</v>
      </c>
      <c r="G69" s="10"/>
      <c r="H69" s="10" t="s">
        <v>70</v>
      </c>
      <c r="I69" s="10" t="s">
        <v>223</v>
      </c>
      <c r="J69" s="10" t="s">
        <v>70</v>
      </c>
      <c r="K69" s="10" t="s">
        <v>512</v>
      </c>
      <c r="L69" s="12" t="s">
        <v>513</v>
      </c>
      <c r="M69" s="29" t="str">
        <f t="shared" si="1"/>
        <v/>
      </c>
      <c r="N69" s="31">
        <f>IFERROR(__xludf.DUMMYFUNCTION("IF(Account!$F69&lt;&gt;"""", VALUE(REGEXREPLACE($I69, ""\,"", ""."")), """")"),-2.0)</f>
        <v>-2</v>
      </c>
      <c r="O69" s="33">
        <f>IF(Account!$F69&lt;&gt;"", DATEVALUE(MID($A69,4,3) &amp; LEFT($A69,3) &amp; RIGHT($A69,4)) + TIMEVALUE($B69), "")</f>
        <v>43593.47917</v>
      </c>
      <c r="P69" s="34">
        <f>IF(Account!$F69&lt;&gt;"", DATEVALUE(MID($C69,4,3) &amp; LEFT($C69,3) &amp; RIGHT($C69,4)), "")</f>
        <v>43593</v>
      </c>
      <c r="Q69" s="35" t="str">
        <f t="array" ref="Q69">IF($R69&lt;&gt;"",IFERROR(INDEX(Investment!$A:$A,MATCH($R69,Investment!$H:$H,0))),)</f>
        <v>Long term US bonds (20-25 year)</v>
      </c>
      <c r="R69" s="36" t="str">
        <f t="array" ref="R69">IF(AND($Y69="change",$H69="EUR"),IF(AND($AA69="Crédit",$O69=$O70),$R70,IF(AND($AA69="Débit",$O69=$O68),$R68)),IF(OR(AND(OR($E69&lt;&gt;"",$M69=""),$N69&lt;&gt;0),$A69=""),IFERROR(INDEX(Investment!$H:$H,MATCH($E69,Investment!$F:$F,0))),IFERROR(INDEX($R70:$R1119,MATCH(SUBSTITUTE($I69,"-","",1),$K70:$K1119,0)),INDEX($R70:$R1119,MATCH($K69,$K70:$K1119,0)))))</f>
        <v>iShares Treasury Bond 20+ UCITS</v>
      </c>
      <c r="S69" s="35" t="str">
        <f t="shared" si="2"/>
        <v>COST</v>
      </c>
      <c r="T69" s="37" t="str">
        <f t="shared" si="3"/>
        <v/>
      </c>
      <c r="U69" s="38" t="str">
        <f t="shared" si="4"/>
        <v/>
      </c>
      <c r="V69" s="31">
        <f t="shared" si="5"/>
        <v>-2.33</v>
      </c>
      <c r="W69" s="39" t="str">
        <f>IFERROR(__xludf.DUMMYFUNCTION(" IF(Account!$F69&lt;&gt;"""", SPLIT(Account!$F69, "" ""), """")"),"Frais")</f>
        <v>Frais</v>
      </c>
      <c r="X69" s="54" t="str">
        <f>IFERROR(__xludf.DUMMYFUNCTION("""COMPUTED_VALUE"""),"de")</f>
        <v>de</v>
      </c>
      <c r="Y69" s="54" t="str">
        <f>IFERROR(__xludf.DUMMYFUNCTION("""COMPUTED_VALUE"""),"courtage")</f>
        <v>courtage</v>
      </c>
      <c r="Z69" s="54"/>
      <c r="AA69" s="54"/>
      <c r="AB69" s="54"/>
      <c r="AC69" s="54"/>
      <c r="AD69" s="54"/>
      <c r="AE69" s="54"/>
      <c r="AF69" s="54"/>
      <c r="AG69" s="54"/>
      <c r="AH69" s="54"/>
      <c r="AI69" s="54"/>
      <c r="AJ69" s="54"/>
      <c r="AK69" s="54"/>
    </row>
    <row r="70">
      <c r="A70" s="10" t="s">
        <v>491</v>
      </c>
      <c r="B70" s="10" t="s">
        <v>511</v>
      </c>
      <c r="C70" s="10" t="s">
        <v>491</v>
      </c>
      <c r="D70" s="10" t="s">
        <v>83</v>
      </c>
      <c r="E70" s="10" t="s">
        <v>84</v>
      </c>
      <c r="F70" s="12" t="s">
        <v>222</v>
      </c>
      <c r="G70" s="10"/>
      <c r="H70" s="10" t="s">
        <v>70</v>
      </c>
      <c r="I70" s="10" t="s">
        <v>515</v>
      </c>
      <c r="J70" s="10" t="s">
        <v>70</v>
      </c>
      <c r="K70" s="10" t="s">
        <v>516</v>
      </c>
      <c r="L70" s="12" t="s">
        <v>513</v>
      </c>
      <c r="M70" s="29" t="str">
        <f t="shared" si="1"/>
        <v/>
      </c>
      <c r="N70" s="31">
        <f>IFERROR(__xludf.DUMMYFUNCTION("IF(Account!$F70&lt;&gt;"""", VALUE(REGEXREPLACE($I70, ""\,"", ""."")), """")"),-0.33)</f>
        <v>-0.33</v>
      </c>
      <c r="O70" s="33">
        <f>IF(Account!$F70&lt;&gt;"", DATEVALUE(MID($A70,4,3) &amp; LEFT($A70,3) &amp; RIGHT($A70,4)) + TIMEVALUE($B70), "")</f>
        <v>43593.47917</v>
      </c>
      <c r="P70" s="34">
        <f>IF(Account!$F70&lt;&gt;"", DATEVALUE(MID($C70,4,3) &amp; LEFT($C70,3) &amp; RIGHT($C70,4)), "")</f>
        <v>43593</v>
      </c>
      <c r="Q70" s="35" t="str">
        <f t="array" ref="Q70">IF($R70&lt;&gt;"",IFERROR(INDEX(Investment!$A:$A,MATCH($R70,Investment!$H:$H,0))),)</f>
        <v>Long term US bonds (20-25 year)</v>
      </c>
      <c r="R70" s="36" t="str">
        <f t="array" ref="R70">IF(AND($Y70="change",$H70="EUR"),IF(AND($AA70="Crédit",$O70=$O71),$R71,IF(AND($AA70="Débit",$O70=$O69),$R69)),IF(OR(AND(OR($E70&lt;&gt;"",$M70=""),$N70&lt;&gt;0),$A70=""),IFERROR(INDEX(Investment!$H:$H,MATCH($E70,Investment!$F:$F,0))),IFERROR(INDEX($R71:$R1119,MATCH(SUBSTITUTE($I70,"-","",1),$K71:$K1119,0)),INDEX($R71:$R1119,MATCH($K70,$K71:$K1119,0)))))</f>
        <v>iShares Treasury Bond 20+ UCITS</v>
      </c>
      <c r="S70" s="35" t="str">
        <f t="shared" si="2"/>
        <v>COST</v>
      </c>
      <c r="T70" s="37" t="str">
        <f t="shared" si="3"/>
        <v/>
      </c>
      <c r="U70" s="38" t="str">
        <f t="shared" si="4"/>
        <v/>
      </c>
      <c r="V70" s="31">
        <f t="shared" si="5"/>
        <v>-2.33</v>
      </c>
      <c r="W70" s="39" t="str">
        <f>IFERROR(__xludf.DUMMYFUNCTION(" IF(Account!$F70&lt;&gt;"""", SPLIT(Account!$F70, "" ""), """")"),"Frais")</f>
        <v>Frais</v>
      </c>
      <c r="X70" s="54" t="str">
        <f>IFERROR(__xludf.DUMMYFUNCTION("""COMPUTED_VALUE"""),"de")</f>
        <v>de</v>
      </c>
      <c r="Y70" s="54" t="str">
        <f>IFERROR(__xludf.DUMMYFUNCTION("""COMPUTED_VALUE"""),"courtage")</f>
        <v>courtage</v>
      </c>
      <c r="Z70" s="54"/>
      <c r="AA70" s="54"/>
      <c r="AB70" s="54"/>
      <c r="AC70" s="54"/>
      <c r="AD70" s="54"/>
      <c r="AE70" s="54"/>
      <c r="AF70" s="54"/>
      <c r="AG70" s="54"/>
      <c r="AH70" s="54"/>
      <c r="AI70" s="54"/>
      <c r="AJ70" s="54"/>
      <c r="AK70" s="54"/>
    </row>
    <row r="71">
      <c r="A71" s="10" t="s">
        <v>491</v>
      </c>
      <c r="B71" s="10" t="s">
        <v>511</v>
      </c>
      <c r="C71" s="10" t="s">
        <v>491</v>
      </c>
      <c r="D71" s="10" t="s">
        <v>83</v>
      </c>
      <c r="E71" s="10" t="s">
        <v>84</v>
      </c>
      <c r="F71" s="12" t="s">
        <v>518</v>
      </c>
      <c r="G71" s="10"/>
      <c r="H71" s="10" t="s">
        <v>70</v>
      </c>
      <c r="I71" s="10" t="s">
        <v>519</v>
      </c>
      <c r="J71" s="10" t="s">
        <v>70</v>
      </c>
      <c r="K71" s="10" t="s">
        <v>520</v>
      </c>
      <c r="L71" s="12" t="s">
        <v>513</v>
      </c>
      <c r="M71" s="29">
        <f t="shared" si="1"/>
        <v>-388</v>
      </c>
      <c r="N71" s="31">
        <f>IFERROR(__xludf.DUMMYFUNCTION("IF(Account!$F71&lt;&gt;"""", VALUE(REGEXREPLACE($I71, ""\,"", ""."")), """")"),1633.87)</f>
        <v>1633.87</v>
      </c>
      <c r="O71" s="33">
        <f>IF(Account!$F71&lt;&gt;"", DATEVALUE(MID($A71,4,3) &amp; LEFT($A71,3) &amp; RIGHT($A71,4)) + TIMEVALUE($B71), "")</f>
        <v>43593.47917</v>
      </c>
      <c r="P71" s="34">
        <f>IF(Account!$F71&lt;&gt;"", DATEVALUE(MID($C71,4,3) &amp; LEFT($C71,3) &amp; RIGHT($C71,4)), "")</f>
        <v>43593</v>
      </c>
      <c r="Q71" s="35" t="str">
        <f t="array" ref="Q71">IF($R71&lt;&gt;"",IFERROR(INDEX(Investment!$A:$A,MATCH($R71,Investment!$H:$H,0))),)</f>
        <v>Long term US bonds (20-25 year)</v>
      </c>
      <c r="R71" s="36" t="str">
        <f t="array" ref="R71">IF(AND($Y71="change",$H71="EUR"),IF(AND($AA71="Crédit",$O71=$O72),$R72,IF(AND($AA71="Débit",$O71=$O70),$R70)),IF(OR(AND(OR($E71&lt;&gt;"",$M71=""),$N71&lt;&gt;0),$A71=""),IFERROR(INDEX(Investment!$H:$H,MATCH($E71,Investment!$F:$F,0))),IFERROR(INDEX($R72:$R1119,MATCH(SUBSTITUTE($I71,"-","",1),$K72:$K1119,0)),INDEX($R72:$R1119,MATCH($K71,$K72:$K1119,0)))))</f>
        <v>iShares Treasury Bond 20+ UCITS</v>
      </c>
      <c r="S71" s="35" t="str">
        <f t="shared" si="2"/>
        <v>SELL</v>
      </c>
      <c r="T71" s="37">
        <f t="shared" si="3"/>
        <v>-388</v>
      </c>
      <c r="U71" s="38">
        <f t="shared" si="4"/>
        <v>4.211005155</v>
      </c>
      <c r="V71" s="31">
        <f t="shared" si="5"/>
        <v>1633.87</v>
      </c>
      <c r="W71" s="39" t="str">
        <f>IFERROR(__xludf.DUMMYFUNCTION(" IF(Account!$F71&lt;&gt;"""", SPLIT(Account!$F71, "" ""), """")"),"Vente")</f>
        <v>Vente</v>
      </c>
      <c r="X71" s="54">
        <f>IFERROR(__xludf.DUMMYFUNCTION("""COMPUTED_VALUE"""),388.0)</f>
        <v>388</v>
      </c>
      <c r="Y71" s="54" t="str">
        <f>IFERROR(__xludf.DUMMYFUNCTION("""COMPUTED_VALUE"""),"ISHSIV-DL")</f>
        <v>ISHSIV-DL</v>
      </c>
      <c r="Z71" s="54" t="str">
        <f>IFERROR(__xludf.DUMMYFUNCTION("""COMPUTED_VALUE"""),"T.BD20+YR")</f>
        <v>T.BD20+YR</v>
      </c>
      <c r="AA71" s="54" t="str">
        <f>IFERROR(__xludf.DUMMYFUNCTION("""COMPUTED_VALUE"""),"DL")</f>
        <v>DL</v>
      </c>
      <c r="AB71" s="54" t="str">
        <f>IFERROR(__xludf.DUMMYFUNCTION("""COMPUTED_VALUE"""),"D@4,211")</f>
        <v>D@4,211</v>
      </c>
      <c r="AC71" s="54" t="str">
        <f>IFERROR(__xludf.DUMMYFUNCTION("""COMPUTED_VALUE"""),"EUR")</f>
        <v>EUR</v>
      </c>
      <c r="AD71" s="54" t="str">
        <f>IFERROR(__xludf.DUMMYFUNCTION("""COMPUTED_VALUE"""),"(IE00BSKRJZ44)")</f>
        <v>(IE00BSKRJZ44)</v>
      </c>
      <c r="AE71" s="54"/>
      <c r="AF71" s="54"/>
      <c r="AG71" s="54"/>
      <c r="AH71" s="54"/>
      <c r="AI71" s="54"/>
      <c r="AJ71" s="54"/>
      <c r="AK71" s="54"/>
    </row>
    <row r="72">
      <c r="A72" s="10" t="s">
        <v>521</v>
      </c>
      <c r="B72" s="10" t="s">
        <v>522</v>
      </c>
      <c r="C72" s="10" t="s">
        <v>521</v>
      </c>
      <c r="D72" s="10" t="s">
        <v>83</v>
      </c>
      <c r="E72" s="10" t="s">
        <v>84</v>
      </c>
      <c r="F72" s="12" t="s">
        <v>222</v>
      </c>
      <c r="G72" s="10"/>
      <c r="H72" s="10" t="s">
        <v>70</v>
      </c>
      <c r="I72" s="10" t="s">
        <v>223</v>
      </c>
      <c r="J72" s="10" t="s">
        <v>70</v>
      </c>
      <c r="K72" s="10" t="s">
        <v>523</v>
      </c>
      <c r="L72" s="12" t="s">
        <v>524</v>
      </c>
      <c r="M72" s="29" t="str">
        <f t="shared" si="1"/>
        <v/>
      </c>
      <c r="N72" s="31">
        <f>IFERROR(__xludf.DUMMYFUNCTION("IF(Account!$F72&lt;&gt;"""", VALUE(REGEXREPLACE($I72, ""\,"", ""."")), """")"),-2.0)</f>
        <v>-2</v>
      </c>
      <c r="O72" s="33">
        <f>IF(Account!$F72&lt;&gt;"", DATEVALUE(MID($A72,4,3) &amp; LEFT($A72,3) &amp; RIGHT($A72,4)) + TIMEVALUE($B72), "")</f>
        <v>43592.70833</v>
      </c>
      <c r="P72" s="34">
        <f>IF(Account!$F72&lt;&gt;"", DATEVALUE(MID($C72,4,3) &amp; LEFT($C72,3) &amp; RIGHT($C72,4)), "")</f>
        <v>43592</v>
      </c>
      <c r="Q72" s="35" t="str">
        <f t="array" ref="Q72">IF($R72&lt;&gt;"",IFERROR(INDEX(Investment!$A:$A,MATCH($R72,Investment!$H:$H,0))),)</f>
        <v>Long term US bonds (20-25 year)</v>
      </c>
      <c r="R72" s="36" t="str">
        <f t="array" ref="R72">IF(AND($Y72="change",$H72="EUR"),IF(AND($AA72="Crédit",$O72=$O73),$R73,IF(AND($AA72="Débit",$O72=$O71),$R71)),IF(OR(AND(OR($E72&lt;&gt;"",$M72=""),$N72&lt;&gt;0),$A72=""),IFERROR(INDEX(Investment!$H:$H,MATCH($E72,Investment!$F:$F,0))),IFERROR(INDEX($R73:$R1119,MATCH(SUBSTITUTE($I72,"-","",1),$K73:$K1119,0)),INDEX($R73:$R1119,MATCH($K72,$K73:$K1119,0)))))</f>
        <v>iShares Treasury Bond 20+ UCITS</v>
      </c>
      <c r="S72" s="35" t="str">
        <f t="shared" si="2"/>
        <v>COST</v>
      </c>
      <c r="T72" s="37" t="str">
        <f t="shared" si="3"/>
        <v/>
      </c>
      <c r="U72" s="38" t="str">
        <f t="shared" si="4"/>
        <v/>
      </c>
      <c r="V72" s="31">
        <f t="shared" si="5"/>
        <v>-2.23</v>
      </c>
      <c r="W72" s="39" t="str">
        <f>IFERROR(__xludf.DUMMYFUNCTION(" IF(Account!$F72&lt;&gt;"""", SPLIT(Account!$F72, "" ""), """")"),"Frais")</f>
        <v>Frais</v>
      </c>
      <c r="X72" s="54" t="str">
        <f>IFERROR(__xludf.DUMMYFUNCTION("""COMPUTED_VALUE"""),"de")</f>
        <v>de</v>
      </c>
      <c r="Y72" s="54" t="str">
        <f>IFERROR(__xludf.DUMMYFUNCTION("""COMPUTED_VALUE"""),"courtage")</f>
        <v>courtage</v>
      </c>
      <c r="Z72" s="54"/>
      <c r="AA72" s="54"/>
      <c r="AB72" s="54"/>
      <c r="AC72" s="54"/>
      <c r="AD72" s="54"/>
      <c r="AE72" s="54"/>
      <c r="AF72" s="54"/>
      <c r="AG72" s="54"/>
      <c r="AH72" s="54"/>
      <c r="AI72" s="54"/>
      <c r="AJ72" s="54"/>
      <c r="AK72" s="54"/>
    </row>
    <row r="73">
      <c r="A73" s="10" t="s">
        <v>521</v>
      </c>
      <c r="B73" s="10" t="s">
        <v>522</v>
      </c>
      <c r="C73" s="10" t="s">
        <v>521</v>
      </c>
      <c r="D73" s="10" t="s">
        <v>83</v>
      </c>
      <c r="E73" s="10" t="s">
        <v>84</v>
      </c>
      <c r="F73" s="12" t="s">
        <v>222</v>
      </c>
      <c r="G73" s="10"/>
      <c r="H73" s="10" t="s">
        <v>70</v>
      </c>
      <c r="I73" s="10" t="s">
        <v>526</v>
      </c>
      <c r="J73" s="10" t="s">
        <v>70</v>
      </c>
      <c r="K73" s="10" t="s">
        <v>527</v>
      </c>
      <c r="L73" s="12" t="s">
        <v>524</v>
      </c>
      <c r="M73" s="29" t="str">
        <f t="shared" si="1"/>
        <v/>
      </c>
      <c r="N73" s="31">
        <f>IFERROR(__xludf.DUMMYFUNCTION("IF(Account!$F73&lt;&gt;"""", VALUE(REGEXREPLACE($I73, ""\,"", ""."")), """")"),-0.23)</f>
        <v>-0.23</v>
      </c>
      <c r="O73" s="33">
        <f>IF(Account!$F73&lt;&gt;"", DATEVALUE(MID($A73,4,3) &amp; LEFT($A73,3) &amp; RIGHT($A73,4)) + TIMEVALUE($B73), "")</f>
        <v>43592.70833</v>
      </c>
      <c r="P73" s="34">
        <f>IF(Account!$F73&lt;&gt;"", DATEVALUE(MID($C73,4,3) &amp; LEFT($C73,3) &amp; RIGHT($C73,4)), "")</f>
        <v>43592</v>
      </c>
      <c r="Q73" s="35" t="str">
        <f t="array" ref="Q73">IF($R73&lt;&gt;"",IFERROR(INDEX(Investment!$A:$A,MATCH($R73,Investment!$H:$H,0))),)</f>
        <v>Long term US bonds (20-25 year)</v>
      </c>
      <c r="R73" s="36" t="str">
        <f t="array" ref="R73">IF(AND($Y73="change",$H73="EUR"),IF(AND($AA73="Crédit",$O73=$O74),$R74,IF(AND($AA73="Débit",$O73=$O72),$R72)),IF(OR(AND(OR($E73&lt;&gt;"",$M73=""),$N73&lt;&gt;0),$A73=""),IFERROR(INDEX(Investment!$H:$H,MATCH($E73,Investment!$F:$F,0))),IFERROR(INDEX($R74:$R1119,MATCH(SUBSTITUTE($I73,"-","",1),$K74:$K1119,0)),INDEX($R74:$R1119,MATCH($K73,$K74:$K1119,0)))))</f>
        <v>iShares Treasury Bond 20+ UCITS</v>
      </c>
      <c r="S73" s="35" t="str">
        <f t="shared" si="2"/>
        <v>COST</v>
      </c>
      <c r="T73" s="37" t="str">
        <f t="shared" si="3"/>
        <v/>
      </c>
      <c r="U73" s="38" t="str">
        <f t="shared" si="4"/>
        <v/>
      </c>
      <c r="V73" s="31">
        <f t="shared" si="5"/>
        <v>-2.23</v>
      </c>
      <c r="W73" s="39" t="str">
        <f>IFERROR(__xludf.DUMMYFUNCTION(" IF(Account!$F73&lt;&gt;"""", SPLIT(Account!$F73, "" ""), """")"),"Frais")</f>
        <v>Frais</v>
      </c>
      <c r="X73" s="54" t="str">
        <f>IFERROR(__xludf.DUMMYFUNCTION("""COMPUTED_VALUE"""),"de")</f>
        <v>de</v>
      </c>
      <c r="Y73" s="54" t="str">
        <f>IFERROR(__xludf.DUMMYFUNCTION("""COMPUTED_VALUE"""),"courtage")</f>
        <v>courtage</v>
      </c>
      <c r="Z73" s="54"/>
      <c r="AA73" s="54"/>
      <c r="AB73" s="54"/>
      <c r="AC73" s="54"/>
      <c r="AD73" s="54"/>
      <c r="AE73" s="54"/>
      <c r="AF73" s="54"/>
      <c r="AG73" s="54"/>
      <c r="AH73" s="54"/>
      <c r="AI73" s="54"/>
      <c r="AJ73" s="54"/>
      <c r="AK73" s="54"/>
    </row>
    <row r="74">
      <c r="A74" s="10" t="s">
        <v>521</v>
      </c>
      <c r="B74" s="10" t="s">
        <v>522</v>
      </c>
      <c r="C74" s="10" t="s">
        <v>521</v>
      </c>
      <c r="D74" s="10" t="s">
        <v>83</v>
      </c>
      <c r="E74" s="10" t="s">
        <v>84</v>
      </c>
      <c r="F74" s="12" t="s">
        <v>528</v>
      </c>
      <c r="G74" s="10"/>
      <c r="H74" s="10" t="s">
        <v>70</v>
      </c>
      <c r="I74" s="10" t="s">
        <v>529</v>
      </c>
      <c r="J74" s="10" t="s">
        <v>70</v>
      </c>
      <c r="K74" s="10" t="s">
        <v>530</v>
      </c>
      <c r="L74" s="12" t="s">
        <v>524</v>
      </c>
      <c r="M74" s="29">
        <f t="shared" si="1"/>
        <v>-277</v>
      </c>
      <c r="N74" s="31">
        <f>IFERROR(__xludf.DUMMYFUNCTION("IF(Account!$F74&lt;&gt;"""", VALUE(REGEXREPLACE($I74, ""\,"", ""."")), """")"),1162.85)</f>
        <v>1162.85</v>
      </c>
      <c r="O74" s="33">
        <f>IF(Account!$F74&lt;&gt;"", DATEVALUE(MID($A74,4,3) &amp; LEFT($A74,3) &amp; RIGHT($A74,4)) + TIMEVALUE($B74), "")</f>
        <v>43592.70833</v>
      </c>
      <c r="P74" s="34">
        <f>IF(Account!$F74&lt;&gt;"", DATEVALUE(MID($C74,4,3) &amp; LEFT($C74,3) &amp; RIGHT($C74,4)), "")</f>
        <v>43592</v>
      </c>
      <c r="Q74" s="35" t="str">
        <f t="array" ref="Q74">IF($R74&lt;&gt;"",IFERROR(INDEX(Investment!$A:$A,MATCH($R74,Investment!$H:$H,0))),)</f>
        <v>Long term US bonds (20-25 year)</v>
      </c>
      <c r="R74" s="36" t="str">
        <f t="array" ref="R74">IF(AND($Y74="change",$H74="EUR"),IF(AND($AA74="Crédit",$O74=$O75),$R75,IF(AND($AA74="Débit",$O74=$O73),$R73)),IF(OR(AND(OR($E74&lt;&gt;"",$M74=""),$N74&lt;&gt;0),$A74=""),IFERROR(INDEX(Investment!$H:$H,MATCH($E74,Investment!$F:$F,0))),IFERROR(INDEX($R75:$R1119,MATCH(SUBSTITUTE($I74,"-","",1),$K75:$K1119,0)),INDEX($R75:$R1119,MATCH($K74,$K75:$K1119,0)))))</f>
        <v>iShares Treasury Bond 20+ UCITS</v>
      </c>
      <c r="S74" s="35" t="str">
        <f t="shared" si="2"/>
        <v>SELL</v>
      </c>
      <c r="T74" s="37">
        <f t="shared" si="3"/>
        <v>-277</v>
      </c>
      <c r="U74" s="38">
        <f t="shared" si="4"/>
        <v>4.19801444</v>
      </c>
      <c r="V74" s="31">
        <f t="shared" si="5"/>
        <v>1162.85</v>
      </c>
      <c r="W74" s="39" t="str">
        <f>IFERROR(__xludf.DUMMYFUNCTION(" IF(Account!$F74&lt;&gt;"""", SPLIT(Account!$F74, "" ""), """")"),"Vente")</f>
        <v>Vente</v>
      </c>
      <c r="X74" s="54">
        <f>IFERROR(__xludf.DUMMYFUNCTION("""COMPUTED_VALUE"""),277.0)</f>
        <v>277</v>
      </c>
      <c r="Y74" s="54" t="str">
        <f>IFERROR(__xludf.DUMMYFUNCTION("""COMPUTED_VALUE"""),"ISHSIV-DL")</f>
        <v>ISHSIV-DL</v>
      </c>
      <c r="Z74" s="54" t="str">
        <f>IFERROR(__xludf.DUMMYFUNCTION("""COMPUTED_VALUE"""),"T.BD20+YR")</f>
        <v>T.BD20+YR</v>
      </c>
      <c r="AA74" s="54" t="str">
        <f>IFERROR(__xludf.DUMMYFUNCTION("""COMPUTED_VALUE"""),"DL")</f>
        <v>DL</v>
      </c>
      <c r="AB74" s="54" t="str">
        <f>IFERROR(__xludf.DUMMYFUNCTION("""COMPUTED_VALUE"""),"D@4,198")</f>
        <v>D@4,198</v>
      </c>
      <c r="AC74" s="54" t="str">
        <f>IFERROR(__xludf.DUMMYFUNCTION("""COMPUTED_VALUE"""),"EUR")</f>
        <v>EUR</v>
      </c>
      <c r="AD74" s="54" t="str">
        <f>IFERROR(__xludf.DUMMYFUNCTION("""COMPUTED_VALUE"""),"(IE00BSKRJZ44)")</f>
        <v>(IE00BSKRJZ44)</v>
      </c>
      <c r="AE74" s="54"/>
      <c r="AF74" s="54"/>
      <c r="AG74" s="54"/>
      <c r="AH74" s="54"/>
      <c r="AI74" s="54"/>
      <c r="AJ74" s="54"/>
      <c r="AK74" s="54"/>
    </row>
    <row r="75">
      <c r="A75" s="10" t="s">
        <v>533</v>
      </c>
      <c r="B75" s="10" t="s">
        <v>534</v>
      </c>
      <c r="C75" s="10" t="s">
        <v>533</v>
      </c>
      <c r="D75" s="10" t="s">
        <v>241</v>
      </c>
      <c r="E75" s="10" t="s">
        <v>242</v>
      </c>
      <c r="F75" s="12" t="s">
        <v>535</v>
      </c>
      <c r="G75" s="10"/>
      <c r="H75" s="10" t="s">
        <v>70</v>
      </c>
      <c r="I75" s="10" t="s">
        <v>536</v>
      </c>
      <c r="J75" s="10" t="s">
        <v>70</v>
      </c>
      <c r="K75" s="10" t="s">
        <v>537</v>
      </c>
      <c r="L75" s="12" t="s">
        <v>538</v>
      </c>
      <c r="M75" s="29">
        <f t="shared" si="1"/>
        <v>-6</v>
      </c>
      <c r="N75" s="31">
        <f>IFERROR(__xludf.DUMMYFUNCTION("IF(Account!$F75&lt;&gt;"""", VALUE(REGEXREPLACE($I75, ""\,"", ""."")), """")"),1053.06)</f>
        <v>1053.06</v>
      </c>
      <c r="O75" s="33">
        <f>IF(Account!$F75&lt;&gt;"", DATEVALUE(MID($A75,4,3) &amp; LEFT($A75,3) &amp; RIGHT($A75,4)) + TIMEVALUE($B75), "")</f>
        <v>43591.60417</v>
      </c>
      <c r="P75" s="34">
        <f>IF(Account!$F75&lt;&gt;"", DATEVALUE(MID($C75,4,3) &amp; LEFT($C75,3) &amp; RIGHT($C75,4)), "")</f>
        <v>43591</v>
      </c>
      <c r="Q75" s="35" t="str">
        <f t="array" ref="Q75">IF($R75&lt;&gt;"",IFERROR(INDEX(Investment!$A:$A,MATCH($R75,Investment!$H:$H,0))),)</f>
        <v>Intermediate US bonds (7-10 year)</v>
      </c>
      <c r="R75" s="36" t="str">
        <f t="array" ref="R75">IF(AND($Y75="change",$H75="EUR"),IF(AND($AA75="Crédit",$O75=$O76),$R76,IF(AND($AA75="Débit",$O75=$O74),$R74)),IF(OR(AND(OR($E75&lt;&gt;"",$M75=""),$N75&lt;&gt;0),$A75=""),IFERROR(INDEX(Investment!$H:$H,MATCH($E75,Investment!$F:$F,0))),IFERROR(INDEX($R76:$R1119,MATCH(SUBSTITUTE($I75,"-","",1),$K76:$K1119,0)),INDEX($R76:$R1119,MATCH($K75,$K76:$K1119,0)))))</f>
        <v>iShares Treasury Bond 7-10 UCITS</v>
      </c>
      <c r="S75" s="35" t="str">
        <f t="shared" si="2"/>
        <v>SELL</v>
      </c>
      <c r="T75" s="37">
        <f t="shared" si="3"/>
        <v>-6</v>
      </c>
      <c r="U75" s="38">
        <f t="shared" si="4"/>
        <v>175.51</v>
      </c>
      <c r="V75" s="31">
        <f t="shared" si="5"/>
        <v>1053.06</v>
      </c>
      <c r="W75" s="39" t="str">
        <f>IFERROR(__xludf.DUMMYFUNCTION(" IF(Account!$F75&lt;&gt;"""", SPLIT(Account!$F75, "" ""), """")"),"Vente")</f>
        <v>Vente</v>
      </c>
      <c r="X75" s="54">
        <f>IFERROR(__xludf.DUMMYFUNCTION("""COMPUTED_VALUE"""),6.0)</f>
        <v>6</v>
      </c>
      <c r="Y75" s="54" t="str">
        <f>IFERROR(__xludf.DUMMYFUNCTION("""COMPUTED_VALUE"""),"ISHARES")</f>
        <v>ISHARES</v>
      </c>
      <c r="Z75" s="54" t="str">
        <f>IFERROR(__xludf.DUMMYFUNCTION("""COMPUTED_VALUE"""),"US")</f>
        <v>US</v>
      </c>
      <c r="AA75" s="54" t="str">
        <f>IFERROR(__xludf.DUMMYFUNCTION("""COMPUTED_VALUE"""),"T")</f>
        <v>T</v>
      </c>
      <c r="AB75" s="54" t="str">
        <f>IFERROR(__xludf.DUMMYFUNCTION("""COMPUTED_VALUE"""),"7-10@175,51")</f>
        <v>7-10@175,51</v>
      </c>
      <c r="AC75" s="54" t="str">
        <f>IFERROR(__xludf.DUMMYFUNCTION("""COMPUTED_VALUE"""),"EUR")</f>
        <v>EUR</v>
      </c>
      <c r="AD75" s="54" t="str">
        <f>IFERROR(__xludf.DUMMYFUNCTION("""COMPUTED_VALUE"""),"(IE00B1FZS798)")</f>
        <v>(IE00B1FZS798)</v>
      </c>
      <c r="AE75" s="54"/>
      <c r="AF75" s="54"/>
      <c r="AG75" s="54"/>
      <c r="AH75" s="54"/>
      <c r="AI75" s="54"/>
      <c r="AJ75" s="54"/>
      <c r="AK75" s="54"/>
    </row>
    <row r="76">
      <c r="A76" s="10" t="s">
        <v>533</v>
      </c>
      <c r="B76" s="10" t="s">
        <v>540</v>
      </c>
      <c r="C76" s="10" t="s">
        <v>533</v>
      </c>
      <c r="D76" s="10" t="s">
        <v>83</v>
      </c>
      <c r="E76" s="10" t="s">
        <v>84</v>
      </c>
      <c r="F76" s="12" t="s">
        <v>222</v>
      </c>
      <c r="G76" s="10"/>
      <c r="H76" s="10" t="s">
        <v>70</v>
      </c>
      <c r="I76" s="10" t="s">
        <v>223</v>
      </c>
      <c r="J76" s="10" t="s">
        <v>70</v>
      </c>
      <c r="K76" s="10" t="s">
        <v>541</v>
      </c>
      <c r="L76" s="12" t="s">
        <v>542</v>
      </c>
      <c r="M76" s="29" t="str">
        <f t="shared" si="1"/>
        <v/>
      </c>
      <c r="N76" s="31">
        <f>IFERROR(__xludf.DUMMYFUNCTION("IF(Account!$F76&lt;&gt;"""", VALUE(REGEXREPLACE($I76, ""\,"", ""."")), """")"),-2.0)</f>
        <v>-2</v>
      </c>
      <c r="O76" s="33">
        <f>IF(Account!$F76&lt;&gt;"", DATEVALUE(MID($A76,4,3) &amp; LEFT($A76,3) &amp; RIGHT($A76,4)) + TIMEVALUE($B76), "")</f>
        <v>43591.52153</v>
      </c>
      <c r="P76" s="34">
        <f>IF(Account!$F76&lt;&gt;"", DATEVALUE(MID($C76,4,3) &amp; LEFT($C76,3) &amp; RIGHT($C76,4)), "")</f>
        <v>43591</v>
      </c>
      <c r="Q76" s="35" t="str">
        <f t="array" ref="Q76">IF($R76&lt;&gt;"",IFERROR(INDEX(Investment!$A:$A,MATCH($R76,Investment!$H:$H,0))),)</f>
        <v>Long term US bonds (20-25 year)</v>
      </c>
      <c r="R76" s="36" t="str">
        <f t="array" ref="R76">IF(AND($Y76="change",$H76="EUR"),IF(AND($AA76="Crédit",$O76=$O77),$R77,IF(AND($AA76="Débit",$O76=$O75),$R75)),IF(OR(AND(OR($E76&lt;&gt;"",$M76=""),$N76&lt;&gt;0),$A76=""),IFERROR(INDEX(Investment!$H:$H,MATCH($E76,Investment!$F:$F,0))),IFERROR(INDEX($R77:$R1119,MATCH(SUBSTITUTE($I76,"-","",1),$K77:$K1119,0)),INDEX($R77:$R1119,MATCH($K76,$K77:$K1119,0)))))</f>
        <v>iShares Treasury Bond 20+ UCITS</v>
      </c>
      <c r="S76" s="35" t="str">
        <f t="shared" si="2"/>
        <v>COST</v>
      </c>
      <c r="T76" s="37" t="str">
        <f t="shared" si="3"/>
        <v/>
      </c>
      <c r="U76" s="38" t="str">
        <f t="shared" si="4"/>
        <v/>
      </c>
      <c r="V76" s="31">
        <f t="shared" si="5"/>
        <v>-2.77</v>
      </c>
      <c r="W76" s="39" t="str">
        <f>IFERROR(__xludf.DUMMYFUNCTION(" IF(Account!$F76&lt;&gt;"""", SPLIT(Account!$F76, "" ""), """")"),"Frais")</f>
        <v>Frais</v>
      </c>
      <c r="X76" s="54" t="str">
        <f>IFERROR(__xludf.DUMMYFUNCTION("""COMPUTED_VALUE"""),"de")</f>
        <v>de</v>
      </c>
      <c r="Y76" s="54" t="str">
        <f>IFERROR(__xludf.DUMMYFUNCTION("""COMPUTED_VALUE"""),"courtage")</f>
        <v>courtage</v>
      </c>
      <c r="Z76" s="54"/>
      <c r="AA76" s="54"/>
      <c r="AB76" s="54"/>
      <c r="AC76" s="54"/>
      <c r="AD76" s="54"/>
      <c r="AE76" s="54"/>
      <c r="AF76" s="54"/>
      <c r="AG76" s="54"/>
      <c r="AH76" s="54"/>
      <c r="AI76" s="54"/>
      <c r="AJ76" s="54"/>
      <c r="AK76" s="54"/>
    </row>
    <row r="77">
      <c r="A77" s="10" t="s">
        <v>533</v>
      </c>
      <c r="B77" s="10" t="s">
        <v>540</v>
      </c>
      <c r="C77" s="10" t="s">
        <v>533</v>
      </c>
      <c r="D77" s="10" t="s">
        <v>83</v>
      </c>
      <c r="E77" s="10" t="s">
        <v>84</v>
      </c>
      <c r="F77" s="12" t="s">
        <v>222</v>
      </c>
      <c r="G77" s="10"/>
      <c r="H77" s="10" t="s">
        <v>70</v>
      </c>
      <c r="I77" s="10" t="s">
        <v>545</v>
      </c>
      <c r="J77" s="10" t="s">
        <v>70</v>
      </c>
      <c r="K77" s="10" t="s">
        <v>546</v>
      </c>
      <c r="L77" s="12" t="s">
        <v>542</v>
      </c>
      <c r="M77" s="29" t="str">
        <f t="shared" si="1"/>
        <v/>
      </c>
      <c r="N77" s="31">
        <f>IFERROR(__xludf.DUMMYFUNCTION("IF(Account!$F77&lt;&gt;"""", VALUE(REGEXREPLACE($I77, ""\,"", ""."")), """")"),-0.77)</f>
        <v>-0.77</v>
      </c>
      <c r="O77" s="33">
        <f>IF(Account!$F77&lt;&gt;"", DATEVALUE(MID($A77,4,3) &amp; LEFT($A77,3) &amp; RIGHT($A77,4)) + TIMEVALUE($B77), "")</f>
        <v>43591.52153</v>
      </c>
      <c r="P77" s="34">
        <f>IF(Account!$F77&lt;&gt;"", DATEVALUE(MID($C77,4,3) &amp; LEFT($C77,3) &amp; RIGHT($C77,4)), "")</f>
        <v>43591</v>
      </c>
      <c r="Q77" s="35" t="str">
        <f t="array" ref="Q77">IF($R77&lt;&gt;"",IFERROR(INDEX(Investment!$A:$A,MATCH($R77,Investment!$H:$H,0))),)</f>
        <v>Long term US bonds (20-25 year)</v>
      </c>
      <c r="R77" s="36" t="str">
        <f t="array" ref="R77">IF(AND($Y77="change",$H77="EUR"),IF(AND($AA77="Crédit",$O77=$O78),$R78,IF(AND($AA77="Débit",$O77=$O76),$R76)),IF(OR(AND(OR($E77&lt;&gt;"",$M77=""),$N77&lt;&gt;0),$A77=""),IFERROR(INDEX(Investment!$H:$H,MATCH($E77,Investment!$F:$F,0))),IFERROR(INDEX($R78:$R1119,MATCH(SUBSTITUTE($I77,"-","",1),$K78:$K1119,0)),INDEX($R78:$R1119,MATCH($K77,$K78:$K1119,0)))))</f>
        <v>iShares Treasury Bond 20+ UCITS</v>
      </c>
      <c r="S77" s="35" t="str">
        <f t="shared" si="2"/>
        <v>COST</v>
      </c>
      <c r="T77" s="37" t="str">
        <f t="shared" si="3"/>
        <v/>
      </c>
      <c r="U77" s="38" t="str">
        <f t="shared" si="4"/>
        <v/>
      </c>
      <c r="V77" s="31">
        <f t="shared" si="5"/>
        <v>-2.77</v>
      </c>
      <c r="W77" s="39" t="str">
        <f>IFERROR(__xludf.DUMMYFUNCTION(" IF(Account!$F77&lt;&gt;"""", SPLIT(Account!$F77, "" ""), """")"),"Frais")</f>
        <v>Frais</v>
      </c>
      <c r="X77" s="54" t="str">
        <f>IFERROR(__xludf.DUMMYFUNCTION("""COMPUTED_VALUE"""),"de")</f>
        <v>de</v>
      </c>
      <c r="Y77" s="54" t="str">
        <f>IFERROR(__xludf.DUMMYFUNCTION("""COMPUTED_VALUE"""),"courtage")</f>
        <v>courtage</v>
      </c>
      <c r="Z77" s="54"/>
      <c r="AA77" s="54"/>
      <c r="AB77" s="54"/>
      <c r="AC77" s="54"/>
      <c r="AD77" s="54"/>
      <c r="AE77" s="54"/>
      <c r="AF77" s="54"/>
      <c r="AG77" s="54"/>
      <c r="AH77" s="54"/>
      <c r="AI77" s="54"/>
      <c r="AJ77" s="54"/>
      <c r="AK77" s="54"/>
    </row>
    <row r="78">
      <c r="A78" s="10" t="s">
        <v>533</v>
      </c>
      <c r="B78" s="10" t="s">
        <v>540</v>
      </c>
      <c r="C78" s="10" t="s">
        <v>533</v>
      </c>
      <c r="D78" s="10" t="s">
        <v>83</v>
      </c>
      <c r="E78" s="10" t="s">
        <v>84</v>
      </c>
      <c r="F78" s="12" t="s">
        <v>547</v>
      </c>
      <c r="G78" s="10"/>
      <c r="H78" s="10" t="s">
        <v>70</v>
      </c>
      <c r="I78" s="10" t="s">
        <v>548</v>
      </c>
      <c r="J78" s="10" t="s">
        <v>70</v>
      </c>
      <c r="K78" s="10" t="s">
        <v>549</v>
      </c>
      <c r="L78" s="12" t="s">
        <v>542</v>
      </c>
      <c r="M78" s="29">
        <f t="shared" si="1"/>
        <v>-925</v>
      </c>
      <c r="N78" s="31">
        <f>IFERROR(__xludf.DUMMYFUNCTION("IF(Account!$F78&lt;&gt;"""", VALUE(REGEXREPLACE($I78, ""\,"", ""."")), """")"),3873.16)</f>
        <v>3873.16</v>
      </c>
      <c r="O78" s="33">
        <f>IF(Account!$F78&lt;&gt;"", DATEVALUE(MID($A78,4,3) &amp; LEFT($A78,3) &amp; RIGHT($A78,4)) + TIMEVALUE($B78), "")</f>
        <v>43591.52153</v>
      </c>
      <c r="P78" s="34">
        <f>IF(Account!$F78&lt;&gt;"", DATEVALUE(MID($C78,4,3) &amp; LEFT($C78,3) &amp; RIGHT($C78,4)), "")</f>
        <v>43591</v>
      </c>
      <c r="Q78" s="35" t="str">
        <f t="array" ref="Q78">IF($R78&lt;&gt;"",IFERROR(INDEX(Investment!$A:$A,MATCH($R78,Investment!$H:$H,0))),)</f>
        <v>Long term US bonds (20-25 year)</v>
      </c>
      <c r="R78" s="36" t="str">
        <f t="array" ref="R78">IF(AND($Y78="change",$H78="EUR"),IF(AND($AA78="Crédit",$O78=$O79),$R79,IF(AND($AA78="Débit",$O78=$O77),$R77)),IF(OR(AND(OR($E78&lt;&gt;"",$M78=""),$N78&lt;&gt;0),$A78=""),IFERROR(INDEX(Investment!$H:$H,MATCH($E78,Investment!$F:$F,0))),IFERROR(INDEX($R79:$R1119,MATCH(SUBSTITUTE($I78,"-","",1),$K79:$K1119,0)),INDEX($R79:$R1119,MATCH($K78,$K79:$K1119,0)))))</f>
        <v>iShares Treasury Bond 20+ UCITS</v>
      </c>
      <c r="S78" s="35" t="str">
        <f t="shared" si="2"/>
        <v>SELL</v>
      </c>
      <c r="T78" s="37">
        <f t="shared" si="3"/>
        <v>-925</v>
      </c>
      <c r="U78" s="38">
        <f t="shared" si="4"/>
        <v>4.1872</v>
      </c>
      <c r="V78" s="31">
        <f t="shared" si="5"/>
        <v>3873.16</v>
      </c>
      <c r="W78" s="39" t="str">
        <f>IFERROR(__xludf.DUMMYFUNCTION(" IF(Account!$F78&lt;&gt;"""", SPLIT(Account!$F78, "" ""), """")"),"Vente")</f>
        <v>Vente</v>
      </c>
      <c r="X78" s="54">
        <f>IFERROR(__xludf.DUMMYFUNCTION("""COMPUTED_VALUE"""),925.0)</f>
        <v>925</v>
      </c>
      <c r="Y78" s="54" t="str">
        <f>IFERROR(__xludf.DUMMYFUNCTION("""COMPUTED_VALUE"""),"ISHSIV-DL")</f>
        <v>ISHSIV-DL</v>
      </c>
      <c r="Z78" s="54" t="str">
        <f>IFERROR(__xludf.DUMMYFUNCTION("""COMPUTED_VALUE"""),"T.BD20+YR")</f>
        <v>T.BD20+YR</v>
      </c>
      <c r="AA78" s="54" t="str">
        <f>IFERROR(__xludf.DUMMYFUNCTION("""COMPUTED_VALUE"""),"DL")</f>
        <v>DL</v>
      </c>
      <c r="AB78" s="54" t="str">
        <f>IFERROR(__xludf.DUMMYFUNCTION("""COMPUTED_VALUE"""),"D@4,1872")</f>
        <v>D@4,1872</v>
      </c>
      <c r="AC78" s="54" t="str">
        <f>IFERROR(__xludf.DUMMYFUNCTION("""COMPUTED_VALUE"""),"EUR")</f>
        <v>EUR</v>
      </c>
      <c r="AD78" s="54" t="str">
        <f>IFERROR(__xludf.DUMMYFUNCTION("""COMPUTED_VALUE"""),"(IE00BSKRJZ44)")</f>
        <v>(IE00BSKRJZ44)</v>
      </c>
      <c r="AE78" s="54"/>
      <c r="AF78" s="54"/>
      <c r="AG78" s="54"/>
      <c r="AH78" s="54"/>
      <c r="AI78" s="54"/>
      <c r="AJ78" s="54"/>
      <c r="AK78" s="54"/>
    </row>
    <row r="79">
      <c r="A79" s="10" t="s">
        <v>550</v>
      </c>
      <c r="B79" s="10" t="s">
        <v>551</v>
      </c>
      <c r="C79" s="10" t="s">
        <v>550</v>
      </c>
      <c r="D79" s="10" t="s">
        <v>83</v>
      </c>
      <c r="E79" s="10" t="s">
        <v>84</v>
      </c>
      <c r="F79" s="12" t="s">
        <v>222</v>
      </c>
      <c r="G79" s="10"/>
      <c r="H79" s="10" t="s">
        <v>70</v>
      </c>
      <c r="I79" s="10" t="s">
        <v>223</v>
      </c>
      <c r="J79" s="10" t="s">
        <v>70</v>
      </c>
      <c r="K79" s="10" t="s">
        <v>552</v>
      </c>
      <c r="L79" s="12" t="s">
        <v>553</v>
      </c>
      <c r="M79" s="29" t="str">
        <f t="shared" si="1"/>
        <v/>
      </c>
      <c r="N79" s="31">
        <f>IFERROR(__xludf.DUMMYFUNCTION("IF(Account!$F79&lt;&gt;"""", VALUE(REGEXREPLACE($I79, ""\,"", ""."")), """")"),-2.0)</f>
        <v>-2</v>
      </c>
      <c r="O79" s="33">
        <f>IF(Account!$F79&lt;&gt;"", DATEVALUE(MID($A79,4,3) &amp; LEFT($A79,3) &amp; RIGHT($A79,4)) + TIMEVALUE($B79), "")</f>
        <v>43588.64236</v>
      </c>
      <c r="P79" s="34">
        <f>IF(Account!$F79&lt;&gt;"", DATEVALUE(MID($C79,4,3) &amp; LEFT($C79,3) &amp; RIGHT($C79,4)), "")</f>
        <v>43588</v>
      </c>
      <c r="Q79" s="35" t="str">
        <f t="array" ref="Q79">IF($R79&lt;&gt;"",IFERROR(INDEX(Investment!$A:$A,MATCH($R79,Investment!$H:$H,0))),)</f>
        <v>Long term US bonds (20-25 year)</v>
      </c>
      <c r="R79" s="36" t="str">
        <f t="array" ref="R79">IF(AND($Y79="change",$H79="EUR"),IF(AND($AA79="Crédit",$O79=$O80),$R80,IF(AND($AA79="Débit",$O79=$O78),$R78)),IF(OR(AND(OR($E79&lt;&gt;"",$M79=""),$N79&lt;&gt;0),$A79=""),IFERROR(INDEX(Investment!$H:$H,MATCH($E79,Investment!$F:$F,0))),IFERROR(INDEX($R80:$R1119,MATCH(SUBSTITUTE($I79,"-","",1),$K80:$K1119,0)),INDEX($R80:$R1119,MATCH($K79,$K80:$K1119,0)))))</f>
        <v>iShares Treasury Bond 20+ UCITS</v>
      </c>
      <c r="S79" s="35" t="str">
        <f t="shared" si="2"/>
        <v>COST</v>
      </c>
      <c r="T79" s="37" t="str">
        <f t="shared" si="3"/>
        <v/>
      </c>
      <c r="U79" s="38" t="str">
        <f t="shared" si="4"/>
        <v/>
      </c>
      <c r="V79" s="31">
        <f t="shared" si="5"/>
        <v>-2.25</v>
      </c>
      <c r="W79" s="39" t="str">
        <f>IFERROR(__xludf.DUMMYFUNCTION(" IF(Account!$F79&lt;&gt;"""", SPLIT(Account!$F79, "" ""), """")"),"Frais")</f>
        <v>Frais</v>
      </c>
      <c r="X79" s="54" t="str">
        <f>IFERROR(__xludf.DUMMYFUNCTION("""COMPUTED_VALUE"""),"de")</f>
        <v>de</v>
      </c>
      <c r="Y79" s="54" t="str">
        <f>IFERROR(__xludf.DUMMYFUNCTION("""COMPUTED_VALUE"""),"courtage")</f>
        <v>courtage</v>
      </c>
      <c r="Z79" s="54"/>
      <c r="AA79" s="54"/>
      <c r="AB79" s="54"/>
      <c r="AC79" s="54"/>
      <c r="AD79" s="54"/>
      <c r="AE79" s="54"/>
      <c r="AF79" s="54"/>
      <c r="AG79" s="54"/>
      <c r="AH79" s="54"/>
      <c r="AI79" s="54"/>
      <c r="AJ79" s="54"/>
      <c r="AK79" s="54"/>
    </row>
    <row r="80">
      <c r="A80" s="10" t="s">
        <v>550</v>
      </c>
      <c r="B80" s="10" t="s">
        <v>551</v>
      </c>
      <c r="C80" s="10" t="s">
        <v>550</v>
      </c>
      <c r="D80" s="10" t="s">
        <v>83</v>
      </c>
      <c r="E80" s="10" t="s">
        <v>84</v>
      </c>
      <c r="F80" s="12" t="s">
        <v>222</v>
      </c>
      <c r="G80" s="10"/>
      <c r="H80" s="10" t="s">
        <v>70</v>
      </c>
      <c r="I80" s="10" t="s">
        <v>440</v>
      </c>
      <c r="J80" s="10" t="s">
        <v>70</v>
      </c>
      <c r="K80" s="10" t="s">
        <v>555</v>
      </c>
      <c r="L80" s="12" t="s">
        <v>553</v>
      </c>
      <c r="M80" s="29" t="str">
        <f t="shared" si="1"/>
        <v/>
      </c>
      <c r="N80" s="31">
        <f>IFERROR(__xludf.DUMMYFUNCTION("IF(Account!$F80&lt;&gt;"""", VALUE(REGEXREPLACE($I80, ""\,"", ""."")), """")"),-0.25)</f>
        <v>-0.25</v>
      </c>
      <c r="O80" s="33">
        <f>IF(Account!$F80&lt;&gt;"", DATEVALUE(MID($A80,4,3) &amp; LEFT($A80,3) &amp; RIGHT($A80,4)) + TIMEVALUE($B80), "")</f>
        <v>43588.64236</v>
      </c>
      <c r="P80" s="34">
        <f>IF(Account!$F80&lt;&gt;"", DATEVALUE(MID($C80,4,3) &amp; LEFT($C80,3) &amp; RIGHT($C80,4)), "")</f>
        <v>43588</v>
      </c>
      <c r="Q80" s="35" t="str">
        <f t="array" ref="Q80">IF($R80&lt;&gt;"",IFERROR(INDEX(Investment!$A:$A,MATCH($R80,Investment!$H:$H,0))),)</f>
        <v>Long term US bonds (20-25 year)</v>
      </c>
      <c r="R80" s="36" t="str">
        <f t="array" ref="R80">IF(AND($Y80="change",$H80="EUR"),IF(AND($AA80="Crédit",$O80=$O81),$R81,IF(AND($AA80="Débit",$O80=$O79),$R79)),IF(OR(AND(OR($E80&lt;&gt;"",$M80=""),$N80&lt;&gt;0),$A80=""),IFERROR(INDEX(Investment!$H:$H,MATCH($E80,Investment!$F:$F,0))),IFERROR(INDEX($R81:$R1119,MATCH(SUBSTITUTE($I80,"-","",1),$K81:$K1119,0)),INDEX($R81:$R1119,MATCH($K80,$K81:$K1119,0)))))</f>
        <v>iShares Treasury Bond 20+ UCITS</v>
      </c>
      <c r="S80" s="35" t="str">
        <f t="shared" si="2"/>
        <v>COST</v>
      </c>
      <c r="T80" s="37" t="str">
        <f t="shared" si="3"/>
        <v/>
      </c>
      <c r="U80" s="38" t="str">
        <f t="shared" si="4"/>
        <v/>
      </c>
      <c r="V80" s="31">
        <f t="shared" si="5"/>
        <v>-2.25</v>
      </c>
      <c r="W80" s="39" t="str">
        <f>IFERROR(__xludf.DUMMYFUNCTION(" IF(Account!$F80&lt;&gt;"""", SPLIT(Account!$F80, "" ""), """")"),"Frais")</f>
        <v>Frais</v>
      </c>
      <c r="X80" s="54" t="str">
        <f>IFERROR(__xludf.DUMMYFUNCTION("""COMPUTED_VALUE"""),"de")</f>
        <v>de</v>
      </c>
      <c r="Y80" s="54" t="str">
        <f>IFERROR(__xludf.DUMMYFUNCTION("""COMPUTED_VALUE"""),"courtage")</f>
        <v>courtage</v>
      </c>
      <c r="Z80" s="54"/>
      <c r="AA80" s="54"/>
      <c r="AB80" s="54"/>
      <c r="AC80" s="54"/>
      <c r="AD80" s="54"/>
      <c r="AE80" s="54"/>
      <c r="AF80" s="54"/>
      <c r="AG80" s="54"/>
      <c r="AH80" s="54"/>
      <c r="AI80" s="54"/>
      <c r="AJ80" s="54"/>
      <c r="AK80" s="54"/>
    </row>
    <row r="81">
      <c r="A81" s="10" t="s">
        <v>550</v>
      </c>
      <c r="B81" s="10" t="s">
        <v>551</v>
      </c>
      <c r="C81" s="10" t="s">
        <v>550</v>
      </c>
      <c r="D81" s="10" t="s">
        <v>83</v>
      </c>
      <c r="E81" s="10" t="s">
        <v>84</v>
      </c>
      <c r="F81" s="12" t="s">
        <v>557</v>
      </c>
      <c r="G81" s="10"/>
      <c r="H81" s="10" t="s">
        <v>70</v>
      </c>
      <c r="I81" s="10" t="s">
        <v>558</v>
      </c>
      <c r="J81" s="10" t="s">
        <v>70</v>
      </c>
      <c r="K81" s="10" t="s">
        <v>559</v>
      </c>
      <c r="L81" s="12" t="s">
        <v>553</v>
      </c>
      <c r="M81" s="29">
        <f t="shared" si="1"/>
        <v>-295</v>
      </c>
      <c r="N81" s="31">
        <f>IFERROR(__xludf.DUMMYFUNCTION("IF(Account!$F81&lt;&gt;"""", VALUE(REGEXREPLACE($I81, ""\,"", ""."")), """")"),1229.74)</f>
        <v>1229.74</v>
      </c>
      <c r="O81" s="33">
        <f>IF(Account!$F81&lt;&gt;"", DATEVALUE(MID($A81,4,3) &amp; LEFT($A81,3) &amp; RIGHT($A81,4)) + TIMEVALUE($B81), "")</f>
        <v>43588.64236</v>
      </c>
      <c r="P81" s="34">
        <f>IF(Account!$F81&lt;&gt;"", DATEVALUE(MID($C81,4,3) &amp; LEFT($C81,3) &amp; RIGHT($C81,4)), "")</f>
        <v>43588</v>
      </c>
      <c r="Q81" s="35" t="str">
        <f t="array" ref="Q81">IF($R81&lt;&gt;"",IFERROR(INDEX(Investment!$A:$A,MATCH($R81,Investment!$H:$H,0))),)</f>
        <v>Long term US bonds (20-25 year)</v>
      </c>
      <c r="R81" s="36" t="str">
        <f t="array" ref="R81">IF(AND($Y81="change",$H81="EUR"),IF(AND($AA81="Crédit",$O81=$O82),$R82,IF(AND($AA81="Débit",$O81=$O80),$R80)),IF(OR(AND(OR($E81&lt;&gt;"",$M81=""),$N81&lt;&gt;0),$A81=""),IFERROR(INDEX(Investment!$H:$H,MATCH($E81,Investment!$F:$F,0))),IFERROR(INDEX($R82:$R1119,MATCH(SUBSTITUTE($I81,"-","",1),$K82:$K1119,0)),INDEX($R82:$R1119,MATCH($K81,$K82:$K1119,0)))))</f>
        <v>iShares Treasury Bond 20+ UCITS</v>
      </c>
      <c r="S81" s="35" t="str">
        <f t="shared" si="2"/>
        <v>SELL</v>
      </c>
      <c r="T81" s="37">
        <f t="shared" si="3"/>
        <v>-295</v>
      </c>
      <c r="U81" s="38">
        <f t="shared" si="4"/>
        <v>4.168610169</v>
      </c>
      <c r="V81" s="31">
        <f t="shared" si="5"/>
        <v>1229.74</v>
      </c>
      <c r="W81" s="39" t="str">
        <f>IFERROR(__xludf.DUMMYFUNCTION(" IF(Account!$F81&lt;&gt;"""", SPLIT(Account!$F81, "" ""), """")"),"Vente")</f>
        <v>Vente</v>
      </c>
      <c r="X81" s="54">
        <f>IFERROR(__xludf.DUMMYFUNCTION("""COMPUTED_VALUE"""),295.0)</f>
        <v>295</v>
      </c>
      <c r="Y81" s="54" t="str">
        <f>IFERROR(__xludf.DUMMYFUNCTION("""COMPUTED_VALUE"""),"ISHSIV-DL")</f>
        <v>ISHSIV-DL</v>
      </c>
      <c r="Z81" s="54" t="str">
        <f>IFERROR(__xludf.DUMMYFUNCTION("""COMPUTED_VALUE"""),"T.BD20+YR")</f>
        <v>T.BD20+YR</v>
      </c>
      <c r="AA81" s="54" t="str">
        <f>IFERROR(__xludf.DUMMYFUNCTION("""COMPUTED_VALUE"""),"DL")</f>
        <v>DL</v>
      </c>
      <c r="AB81" s="54" t="str">
        <f>IFERROR(__xludf.DUMMYFUNCTION("""COMPUTED_VALUE"""),"D@4,1686")</f>
        <v>D@4,1686</v>
      </c>
      <c r="AC81" s="54" t="str">
        <f>IFERROR(__xludf.DUMMYFUNCTION("""COMPUTED_VALUE"""),"EUR")</f>
        <v>EUR</v>
      </c>
      <c r="AD81" s="54" t="str">
        <f>IFERROR(__xludf.DUMMYFUNCTION("""COMPUTED_VALUE"""),"(IE00BSKRJZ44)")</f>
        <v>(IE00BSKRJZ44)</v>
      </c>
      <c r="AE81" s="54"/>
      <c r="AF81" s="54"/>
      <c r="AG81" s="54"/>
      <c r="AH81" s="54"/>
      <c r="AI81" s="54"/>
      <c r="AJ81" s="54"/>
      <c r="AK81" s="54"/>
    </row>
    <row r="82">
      <c r="A82" s="10" t="s">
        <v>550</v>
      </c>
      <c r="B82" s="10" t="s">
        <v>562</v>
      </c>
      <c r="C82" s="10" t="s">
        <v>563</v>
      </c>
      <c r="D82" s="10"/>
      <c r="E82" s="10"/>
      <c r="F82" s="12" t="s">
        <v>564</v>
      </c>
      <c r="G82" s="10"/>
      <c r="H82" s="10" t="s">
        <v>70</v>
      </c>
      <c r="I82" s="10" t="s">
        <v>565</v>
      </c>
      <c r="J82" s="10" t="s">
        <v>70</v>
      </c>
      <c r="K82" s="10" t="s">
        <v>566</v>
      </c>
      <c r="L82" s="12"/>
      <c r="M82" s="29" t="str">
        <f t="shared" si="1"/>
        <v/>
      </c>
      <c r="N82" s="31">
        <f>IFERROR(__xludf.DUMMYFUNCTION("IF(Account!$F82&lt;&gt;"""", VALUE(REGEXREPLACE($I82, ""\,"", ""."")), """")"),-2.5)</f>
        <v>-2.5</v>
      </c>
      <c r="O82" s="33">
        <f>IF(Account!$F82&lt;&gt;"", DATEVALUE(MID($A82,4,3) &amp; LEFT($A82,3) &amp; RIGHT($A82,4)) + TIMEVALUE($B82), "")</f>
        <v>43588.57361</v>
      </c>
      <c r="P82" s="34">
        <f>IF(Account!$F82&lt;&gt;"", DATEVALUE(MID($C82,4,3) &amp; LEFT($C82,3) &amp; RIGHT($C82,4)), "")</f>
        <v>43585</v>
      </c>
      <c r="Q82" s="35" t="str">
        <f t="array" ref="Q82">IF($R82&lt;&gt;"",IFERROR(INDEX(Investment!$A:$A,MATCH($R82,Investment!$H:$H,0))),)</f>
        <v/>
      </c>
      <c r="R82" s="36" t="str">
        <f t="array" ref="R82">IF(AND($Y82="change",$H82="EUR"),IF(AND($AA82="Crédit",$O82=$O83),$R83,IF(AND($AA82="Débit",$O82=$O81),$R81)),IF(OR(AND(OR($E82&lt;&gt;"",$M82=""),$N82&lt;&gt;0),$A82=""),IFERROR(INDEX(Investment!$H:$H,MATCH($E82,Investment!$F:$F,0))),IFERROR(INDEX($R83:$R1119,MATCH(SUBSTITUTE($I82,"-","",1),$K83:$K1119,0)),INDEX($R83:$R1119,MATCH($K82,$K83:$K1119,0)))))</f>
        <v/>
      </c>
      <c r="S82" s="35" t="str">
        <f t="shared" si="2"/>
        <v>COST</v>
      </c>
      <c r="T82" s="37" t="str">
        <f t="shared" si="3"/>
        <v/>
      </c>
      <c r="U82" s="38" t="str">
        <f t="shared" si="4"/>
        <v/>
      </c>
      <c r="V82" s="31">
        <f t="shared" si="5"/>
        <v>-2.5</v>
      </c>
      <c r="W82" s="39" t="str">
        <f>IFERROR(__xludf.DUMMYFUNCTION(" IF(Account!$F82&lt;&gt;"""", SPLIT(Account!$F82, "" ""), """")"),"Frais")</f>
        <v>Frais</v>
      </c>
      <c r="X82" s="54" t="str">
        <f>IFERROR(__xludf.DUMMYFUNCTION("""COMPUTED_VALUE"""),"de")</f>
        <v>de</v>
      </c>
      <c r="Y82" s="54" t="str">
        <f>IFERROR(__xludf.DUMMYFUNCTION("""COMPUTED_VALUE"""),"connexion")</f>
        <v>connexion</v>
      </c>
      <c r="Z82" s="54" t="str">
        <f>IFERROR(__xludf.DUMMYFUNCTION("""COMPUTED_VALUE"""),"aux")</f>
        <v>aux</v>
      </c>
      <c r="AA82" s="54" t="str">
        <f>IFERROR(__xludf.DUMMYFUNCTION("""COMPUTED_VALUE"""),"places")</f>
        <v>places</v>
      </c>
      <c r="AB82" s="54" t="str">
        <f>IFERROR(__xludf.DUMMYFUNCTION("""COMPUTED_VALUE"""),"boursières")</f>
        <v>boursières</v>
      </c>
      <c r="AC82" s="54">
        <f>IFERROR(__xludf.DUMMYFUNCTION("""COMPUTED_VALUE"""),2019.0)</f>
        <v>2019</v>
      </c>
      <c r="AD82" s="54" t="str">
        <f>IFERROR(__xludf.DUMMYFUNCTION("""COMPUTED_VALUE"""),"(Xetra")</f>
        <v>(Xetra</v>
      </c>
      <c r="AE82" s="54" t="str">
        <f>IFERROR(__xludf.DUMMYFUNCTION("""COMPUTED_VALUE"""),"-")</f>
        <v>-</v>
      </c>
      <c r="AF82" s="54" t="str">
        <f>IFERROR(__xludf.DUMMYFUNCTION("""COMPUTED_VALUE"""),"XET)")</f>
        <v>XET)</v>
      </c>
      <c r="AG82" s="54"/>
      <c r="AH82" s="54"/>
      <c r="AI82" s="54"/>
      <c r="AJ82" s="54"/>
      <c r="AK82" s="54"/>
    </row>
    <row r="83">
      <c r="A83" s="10" t="s">
        <v>550</v>
      </c>
      <c r="B83" s="10" t="s">
        <v>568</v>
      </c>
      <c r="C83" s="10" t="s">
        <v>550</v>
      </c>
      <c r="D83" s="10"/>
      <c r="E83" s="10"/>
      <c r="F83" s="12" t="s">
        <v>188</v>
      </c>
      <c r="G83" s="10"/>
      <c r="H83" s="10" t="s">
        <v>70</v>
      </c>
      <c r="I83" s="10" t="s">
        <v>487</v>
      </c>
      <c r="J83" s="10" t="s">
        <v>70</v>
      </c>
      <c r="K83" s="10" t="s">
        <v>570</v>
      </c>
      <c r="L83" s="12"/>
      <c r="M83" s="29" t="str">
        <f t="shared" si="1"/>
        <v/>
      </c>
      <c r="N83" s="31">
        <f>IFERROR(__xludf.DUMMYFUNCTION("IF(Account!$F83&lt;&gt;"""", VALUE(REGEXREPLACE($I83, ""\,"", ""."")), """")"),-500.0)</f>
        <v>-500</v>
      </c>
      <c r="O83" s="33">
        <f>IF(Account!$F83&lt;&gt;"", DATEVALUE(MID($A83,4,3) &amp; LEFT($A83,3) &amp; RIGHT($A83,4)) + TIMEVALUE($B83), "")</f>
        <v>43588.55625</v>
      </c>
      <c r="P83" s="34">
        <f>IF(Account!$F83&lt;&gt;"", DATEVALUE(MID($C83,4,3) &amp; LEFT($C83,3) &amp; RIGHT($C83,4)), "")</f>
        <v>43588</v>
      </c>
      <c r="Q83" s="35" t="str">
        <f t="array" ref="Q83">IF($R83&lt;&gt;"",IFERROR(INDEX(Investment!$A:$A,MATCH($R83,Investment!$H:$H,0))),)</f>
        <v/>
      </c>
      <c r="R83" s="36" t="str">
        <f t="array" ref="R83">IF(AND($Y83="change",$H83="EUR"),IF(AND($AA83="Crédit",$O83=$O84),$R84,IF(AND($AA83="Débit",$O83=$O82),$R82)),IF(OR(AND(OR($E83&lt;&gt;"",$M83=""),$N83&lt;&gt;0),$A83=""),IFERROR(INDEX(Investment!$H:$H,MATCH($E83,Investment!$F:$F,0))),IFERROR(INDEX($R84:$R1119,MATCH(SUBSTITUTE($I83,"-","",1),$K84:$K1119,0)),INDEX($R84:$R1119,MATCH($K83,$K84:$K1119,0)))))</f>
        <v/>
      </c>
      <c r="S83" s="35" t="str">
        <f t="shared" si="2"/>
        <v>APPROVISIONNEMENT</v>
      </c>
      <c r="T83" s="37" t="str">
        <f t="shared" si="3"/>
        <v/>
      </c>
      <c r="U83" s="38" t="str">
        <f t="shared" si="4"/>
        <v/>
      </c>
      <c r="V83" s="31">
        <f t="shared" si="5"/>
        <v>-500</v>
      </c>
      <c r="W83" s="39" t="str">
        <f>IFERROR(__xludf.DUMMYFUNCTION(" IF(Account!$F83&lt;&gt;"""", SPLIT(Account!$F83, "" ""), """")"),"Retrait")</f>
        <v>Retrait</v>
      </c>
      <c r="X83" s="54" t="str">
        <f>IFERROR(__xludf.DUMMYFUNCTION("""COMPUTED_VALUE"""),"de")</f>
        <v>de</v>
      </c>
      <c r="Y83" s="54" t="str">
        <f>IFERROR(__xludf.DUMMYFUNCTION("""COMPUTED_VALUE"""),"fonds")</f>
        <v>fonds</v>
      </c>
      <c r="Z83" s="54"/>
      <c r="AA83" s="54"/>
      <c r="AB83" s="54"/>
      <c r="AC83" s="54"/>
      <c r="AD83" s="54"/>
      <c r="AE83" s="54"/>
      <c r="AF83" s="54"/>
      <c r="AG83" s="54"/>
      <c r="AH83" s="54"/>
      <c r="AI83" s="54"/>
      <c r="AJ83" s="54"/>
      <c r="AK83" s="54"/>
    </row>
    <row r="84">
      <c r="A84" s="10" t="s">
        <v>550</v>
      </c>
      <c r="B84" s="10" t="s">
        <v>571</v>
      </c>
      <c r="C84" s="10" t="s">
        <v>563</v>
      </c>
      <c r="D84" s="10"/>
      <c r="E84" s="10"/>
      <c r="F84" s="12" t="s">
        <v>195</v>
      </c>
      <c r="G84" s="10"/>
      <c r="H84" s="10" t="s">
        <v>70</v>
      </c>
      <c r="I84" s="10" t="s">
        <v>572</v>
      </c>
      <c r="J84" s="10" t="s">
        <v>70</v>
      </c>
      <c r="K84" s="10" t="s">
        <v>573</v>
      </c>
      <c r="L84" s="12"/>
      <c r="M84" s="29" t="str">
        <f t="shared" si="1"/>
        <v/>
      </c>
      <c r="N84" s="31">
        <f>IFERROR(__xludf.DUMMYFUNCTION("IF(Account!$F84&lt;&gt;"""", VALUE(REGEXREPLACE($I84, ""\,"", ""."")), """")"),-547.92)</f>
        <v>-547.92</v>
      </c>
      <c r="O84" s="33">
        <f>IF(Account!$F84&lt;&gt;"", DATEVALUE(MID($A84,4,3) &amp; LEFT($A84,3) &amp; RIGHT($A84,4)) + TIMEVALUE($B84), "")</f>
        <v>43588.3625</v>
      </c>
      <c r="P84" s="34">
        <f>IF(Account!$F84&lt;&gt;"", DATEVALUE(MID($C84,4,3) &amp; LEFT($C84,3) &amp; RIGHT($C84,4)), "")</f>
        <v>43585</v>
      </c>
      <c r="Q84" s="35" t="str">
        <f t="array" ref="Q84">IF($R84&lt;&gt;"",IFERROR(INDEX(Investment!$A:$A,MATCH($R84,Investment!$H:$H,0))),)</f>
        <v/>
      </c>
      <c r="R84" s="36" t="str">
        <f t="array" ref="R84">IF(AND($Y84="change",$H84="EUR"),IF(AND($AA84="Crédit",$O84=$O85),$R85,IF(AND($AA84="Débit",$O84=$O83),$R83)),IF(OR(AND(OR($E84&lt;&gt;"",$M84=""),$N84&lt;&gt;0),$A84=""),IFERROR(INDEX(Investment!$H:$H,MATCH($E84,Investment!$F:$F,0))),IFERROR(INDEX($R85:$R1119,MATCH(SUBSTITUTE($I84,"-","",1),$K85:$K1119,0)),INDEX($R85:$R1119,MATCH($K84,$K85:$K1119,0)))))</f>
        <v/>
      </c>
      <c r="S84" s="35" t="str">
        <f t="shared" si="2"/>
        <v>COST</v>
      </c>
      <c r="T84" s="37" t="str">
        <f t="shared" si="3"/>
        <v/>
      </c>
      <c r="U84" s="38" t="str">
        <f t="shared" si="4"/>
        <v/>
      </c>
      <c r="V84" s="31">
        <f t="shared" si="5"/>
        <v>-547.92</v>
      </c>
      <c r="W84" s="39" t="str">
        <f>IFERROR(__xludf.DUMMYFUNCTION(" IF(Account!$F84&lt;&gt;"""", SPLIT(Account!$F84, "" ""), """")"),"Intérêts")</f>
        <v>Intérêts</v>
      </c>
      <c r="X84" s="54" t="str">
        <f>IFERROR(__xludf.DUMMYFUNCTION("""COMPUTED_VALUE"""),"débiteurs")</f>
        <v>débiteurs</v>
      </c>
      <c r="Y84" s="54" t="str">
        <f>IFERROR(__xludf.DUMMYFUNCTION("""COMPUTED_VALUE"""),"mensuels")</f>
        <v>mensuels</v>
      </c>
      <c r="Z84" s="54" t="str">
        <f>IFERROR(__xludf.DUMMYFUNCTION("""COMPUTED_VALUE"""),"(Débit")</f>
        <v>(Débit</v>
      </c>
      <c r="AA84" s="54" t="str">
        <f>IFERROR(__xludf.DUMMYFUNCTION("""COMPUTED_VALUE"""),"Argent)")</f>
        <v>Argent)</v>
      </c>
      <c r="AB84" s="54"/>
      <c r="AC84" s="54"/>
      <c r="AD84" s="54"/>
      <c r="AE84" s="54"/>
      <c r="AF84" s="54"/>
      <c r="AG84" s="54"/>
      <c r="AH84" s="54"/>
      <c r="AI84" s="54"/>
      <c r="AJ84" s="54"/>
      <c r="AK84" s="54"/>
    </row>
    <row r="85">
      <c r="A85" s="10" t="s">
        <v>576</v>
      </c>
      <c r="B85" s="10" t="s">
        <v>577</v>
      </c>
      <c r="C85" s="10" t="s">
        <v>576</v>
      </c>
      <c r="D85" s="10" t="s">
        <v>140</v>
      </c>
      <c r="E85" s="10" t="s">
        <v>141</v>
      </c>
      <c r="F85" s="12" t="s">
        <v>578</v>
      </c>
      <c r="G85" s="10"/>
      <c r="H85" s="10" t="s">
        <v>70</v>
      </c>
      <c r="I85" s="10" t="s">
        <v>579</v>
      </c>
      <c r="J85" s="10" t="s">
        <v>70</v>
      </c>
      <c r="K85" s="10" t="s">
        <v>580</v>
      </c>
      <c r="L85" s="12" t="s">
        <v>581</v>
      </c>
      <c r="M85" s="29">
        <f t="shared" si="1"/>
        <v>-25</v>
      </c>
      <c r="N85" s="31">
        <f>IFERROR(__xludf.DUMMYFUNCTION("IF(Account!$F85&lt;&gt;"""", VALUE(REGEXREPLACE($I85, ""\,"", ""."")), """")"),1252.3)</f>
        <v>1252.3</v>
      </c>
      <c r="O85" s="33">
        <f>IF(Account!$F85&lt;&gt;"", DATEVALUE(MID($A85,4,3) &amp; LEFT($A85,3) &amp; RIGHT($A85,4)) + TIMEVALUE($B85), "")</f>
        <v>43584.69653</v>
      </c>
      <c r="P85" s="34">
        <f>IF(Account!$F85&lt;&gt;"", DATEVALUE(MID($C85,4,3) &amp; LEFT($C85,3) &amp; RIGHT($C85,4)), "")</f>
        <v>43584</v>
      </c>
      <c r="Q85" s="35" t="str">
        <f t="array" ref="Q85">IF($R85&lt;&gt;"",IFERROR(INDEX(Investment!$A:$A,MATCH($R85,Investment!$H:$H,0))),)</f>
        <v>Stocks</v>
      </c>
      <c r="R85" s="36" t="str">
        <f t="array" ref="R85">IF(AND($Y85="change",$H85="EUR"),IF(AND($AA85="Crédit",$O85=$O86),$R86,IF(AND($AA85="Débit",$O85=$O84),$R84)),IF(OR(AND(OR($E85&lt;&gt;"",$M85=""),$N85&lt;&gt;0),$A85=""),IFERROR(INDEX(Investment!$H:$H,MATCH($E85,Investment!$F:$F,0))),IFERROR(INDEX($R86:$R1119,MATCH(SUBSTITUTE($I85,"-","",1),$K86:$K1119,0)),INDEX($R86:$R1119,MATCH($K85,$K86:$K1119,0)))))</f>
        <v>Vanguard S&amp;P 500 UCITS</v>
      </c>
      <c r="S85" s="35" t="str">
        <f t="shared" si="2"/>
        <v>SELL</v>
      </c>
      <c r="T85" s="37">
        <f t="shared" si="3"/>
        <v>-25</v>
      </c>
      <c r="U85" s="38">
        <f t="shared" si="4"/>
        <v>50.092</v>
      </c>
      <c r="V85" s="31">
        <f t="shared" si="5"/>
        <v>1252.3</v>
      </c>
      <c r="W85" s="39" t="str">
        <f>IFERROR(__xludf.DUMMYFUNCTION(" IF(Account!$F85&lt;&gt;"""", SPLIT(Account!$F85, "" ""), """")"),"Vente")</f>
        <v>Vente</v>
      </c>
      <c r="X85" s="54">
        <f>IFERROR(__xludf.DUMMYFUNCTION("""COMPUTED_VALUE"""),25.0)</f>
        <v>25</v>
      </c>
      <c r="Y85" s="54" t="str">
        <f>IFERROR(__xludf.DUMMYFUNCTION("""COMPUTED_VALUE"""),"VANGUARD")</f>
        <v>VANGUARD</v>
      </c>
      <c r="Z85" s="54" t="str">
        <f>IFERROR(__xludf.DUMMYFUNCTION("""COMPUTED_VALUE"""),"S&amp;P500@50,092")</f>
        <v>S&amp;P500@50,092</v>
      </c>
      <c r="AA85" s="54" t="str">
        <f>IFERROR(__xludf.DUMMYFUNCTION("""COMPUTED_VALUE"""),"EUR")</f>
        <v>EUR</v>
      </c>
      <c r="AB85" s="54" t="str">
        <f>IFERROR(__xludf.DUMMYFUNCTION("""COMPUTED_VALUE"""),"(IE00B3XXRP09)")</f>
        <v>(IE00B3XXRP09)</v>
      </c>
      <c r="AC85" s="54"/>
      <c r="AD85" s="54"/>
      <c r="AE85" s="54"/>
      <c r="AF85" s="54"/>
      <c r="AG85" s="54"/>
      <c r="AH85" s="54"/>
      <c r="AI85" s="54"/>
      <c r="AJ85" s="54"/>
      <c r="AK85" s="54"/>
    </row>
    <row r="86">
      <c r="A86" s="10" t="s">
        <v>583</v>
      </c>
      <c r="B86" s="10" t="s">
        <v>584</v>
      </c>
      <c r="C86" s="10" t="s">
        <v>583</v>
      </c>
      <c r="D86" s="10" t="s">
        <v>83</v>
      </c>
      <c r="E86" s="10" t="s">
        <v>84</v>
      </c>
      <c r="F86" s="12" t="s">
        <v>222</v>
      </c>
      <c r="G86" s="10"/>
      <c r="H86" s="10" t="s">
        <v>70</v>
      </c>
      <c r="I86" s="10" t="s">
        <v>223</v>
      </c>
      <c r="J86" s="10" t="s">
        <v>70</v>
      </c>
      <c r="K86" s="10" t="s">
        <v>585</v>
      </c>
      <c r="L86" s="12" t="s">
        <v>586</v>
      </c>
      <c r="M86" s="29" t="str">
        <f t="shared" si="1"/>
        <v/>
      </c>
      <c r="N86" s="31">
        <f>IFERROR(__xludf.DUMMYFUNCTION("IF(Account!$F86&lt;&gt;"""", VALUE(REGEXREPLACE($I86, ""\,"", ""."")), """")"),-2.0)</f>
        <v>-2</v>
      </c>
      <c r="O86" s="33">
        <f>IF(Account!$F86&lt;&gt;"", DATEVALUE(MID($A86,4,3) &amp; LEFT($A86,3) &amp; RIGHT($A86,4)) + TIMEVALUE($B86), "")</f>
        <v>43580.39167</v>
      </c>
      <c r="P86" s="34">
        <f>IF(Account!$F86&lt;&gt;"", DATEVALUE(MID($C86,4,3) &amp; LEFT($C86,3) &amp; RIGHT($C86,4)), "")</f>
        <v>43580</v>
      </c>
      <c r="Q86" s="35" t="str">
        <f t="array" ref="Q86">IF($R86&lt;&gt;"",IFERROR(INDEX(Investment!$A:$A,MATCH($R86,Investment!$H:$H,0))),)</f>
        <v>Long term US bonds (20-25 year)</v>
      </c>
      <c r="R86" s="36" t="str">
        <f t="array" ref="R86">IF(AND($Y86="change",$H86="EUR"),IF(AND($AA86="Crédit",$O86=$O87),$R87,IF(AND($AA86="Débit",$O86=$O85),$R85)),IF(OR(AND(OR($E86&lt;&gt;"",$M86=""),$N86&lt;&gt;0),$A86=""),IFERROR(INDEX(Investment!$H:$H,MATCH($E86,Investment!$F:$F,0))),IFERROR(INDEX($R87:$R1119,MATCH(SUBSTITUTE($I86,"-","",1),$K87:$K1119,0)),INDEX($R87:$R1119,MATCH($K86,$K87:$K1119,0)))))</f>
        <v>iShares Treasury Bond 20+ UCITS</v>
      </c>
      <c r="S86" s="35" t="str">
        <f t="shared" si="2"/>
        <v>COST</v>
      </c>
      <c r="T86" s="37" t="str">
        <f t="shared" si="3"/>
        <v/>
      </c>
      <c r="U86" s="38" t="str">
        <f t="shared" si="4"/>
        <v/>
      </c>
      <c r="V86" s="31">
        <f t="shared" si="5"/>
        <v>-2.45</v>
      </c>
      <c r="W86" s="39" t="str">
        <f>IFERROR(__xludf.DUMMYFUNCTION(" IF(Account!$F86&lt;&gt;"""", SPLIT(Account!$F86, "" ""), """")"),"Frais")</f>
        <v>Frais</v>
      </c>
      <c r="X86" s="54" t="str">
        <f>IFERROR(__xludf.DUMMYFUNCTION("""COMPUTED_VALUE"""),"de")</f>
        <v>de</v>
      </c>
      <c r="Y86" s="54" t="str">
        <f>IFERROR(__xludf.DUMMYFUNCTION("""COMPUTED_VALUE"""),"courtage")</f>
        <v>courtage</v>
      </c>
      <c r="Z86" s="54"/>
      <c r="AA86" s="54"/>
      <c r="AB86" s="54"/>
      <c r="AC86" s="54"/>
      <c r="AD86" s="54"/>
      <c r="AE86" s="54"/>
      <c r="AF86" s="54"/>
      <c r="AG86" s="54"/>
      <c r="AH86" s="54"/>
      <c r="AI86" s="54"/>
      <c r="AJ86" s="54"/>
      <c r="AK86" s="54"/>
    </row>
    <row r="87">
      <c r="A87" s="10" t="s">
        <v>583</v>
      </c>
      <c r="B87" s="10" t="s">
        <v>584</v>
      </c>
      <c r="C87" s="10" t="s">
        <v>583</v>
      </c>
      <c r="D87" s="10" t="s">
        <v>83</v>
      </c>
      <c r="E87" s="10" t="s">
        <v>84</v>
      </c>
      <c r="F87" s="12" t="s">
        <v>222</v>
      </c>
      <c r="G87" s="10"/>
      <c r="H87" s="10" t="s">
        <v>70</v>
      </c>
      <c r="I87" s="10" t="s">
        <v>588</v>
      </c>
      <c r="J87" s="10" t="s">
        <v>70</v>
      </c>
      <c r="K87" s="10" t="s">
        <v>589</v>
      </c>
      <c r="L87" s="12" t="s">
        <v>586</v>
      </c>
      <c r="M87" s="29" t="str">
        <f t="shared" si="1"/>
        <v/>
      </c>
      <c r="N87" s="31">
        <f>IFERROR(__xludf.DUMMYFUNCTION("IF(Account!$F87&lt;&gt;"""", VALUE(REGEXREPLACE($I87, ""\,"", ""."")), """")"),-0.45)</f>
        <v>-0.45</v>
      </c>
      <c r="O87" s="33">
        <f>IF(Account!$F87&lt;&gt;"", DATEVALUE(MID($A87,4,3) &amp; LEFT($A87,3) &amp; RIGHT($A87,4)) + TIMEVALUE($B87), "")</f>
        <v>43580.39167</v>
      </c>
      <c r="P87" s="34">
        <f>IF(Account!$F87&lt;&gt;"", DATEVALUE(MID($C87,4,3) &amp; LEFT($C87,3) &amp; RIGHT($C87,4)), "")</f>
        <v>43580</v>
      </c>
      <c r="Q87" s="35" t="str">
        <f t="array" ref="Q87">IF($R87&lt;&gt;"",IFERROR(INDEX(Investment!$A:$A,MATCH($R87,Investment!$H:$H,0))),)</f>
        <v>Long term US bonds (20-25 year)</v>
      </c>
      <c r="R87" s="36" t="str">
        <f t="array" ref="R87">IF(AND($Y87="change",$H87="EUR"),IF(AND($AA87="Crédit",$O87=$O88),$R88,IF(AND($AA87="Débit",$O87=$O86),$R86)),IF(OR(AND(OR($E87&lt;&gt;"",$M87=""),$N87&lt;&gt;0),$A87=""),IFERROR(INDEX(Investment!$H:$H,MATCH($E87,Investment!$F:$F,0))),IFERROR(INDEX($R88:$R1119,MATCH(SUBSTITUTE($I87,"-","",1),$K88:$K1119,0)),INDEX($R88:$R1119,MATCH($K87,$K88:$K1119,0)))))</f>
        <v>iShares Treasury Bond 20+ UCITS</v>
      </c>
      <c r="S87" s="35" t="str">
        <f t="shared" si="2"/>
        <v>COST</v>
      </c>
      <c r="T87" s="37" t="str">
        <f t="shared" si="3"/>
        <v/>
      </c>
      <c r="U87" s="38" t="str">
        <f t="shared" si="4"/>
        <v/>
      </c>
      <c r="V87" s="31">
        <f t="shared" si="5"/>
        <v>-2.45</v>
      </c>
      <c r="W87" s="39" t="str">
        <f>IFERROR(__xludf.DUMMYFUNCTION(" IF(Account!$F87&lt;&gt;"""", SPLIT(Account!$F87, "" ""), """")"),"Frais")</f>
        <v>Frais</v>
      </c>
      <c r="X87" s="54" t="str">
        <f>IFERROR(__xludf.DUMMYFUNCTION("""COMPUTED_VALUE"""),"de")</f>
        <v>de</v>
      </c>
      <c r="Y87" s="54" t="str">
        <f>IFERROR(__xludf.DUMMYFUNCTION("""COMPUTED_VALUE"""),"courtage")</f>
        <v>courtage</v>
      </c>
      <c r="Z87" s="54"/>
      <c r="AA87" s="54"/>
      <c r="AB87" s="54"/>
      <c r="AC87" s="54"/>
      <c r="AD87" s="54"/>
      <c r="AE87" s="54"/>
      <c r="AF87" s="54"/>
      <c r="AG87" s="54"/>
      <c r="AH87" s="54"/>
      <c r="AI87" s="54"/>
      <c r="AJ87" s="54"/>
      <c r="AK87" s="54"/>
    </row>
    <row r="88">
      <c r="A88" s="10" t="s">
        <v>583</v>
      </c>
      <c r="B88" s="10" t="s">
        <v>584</v>
      </c>
      <c r="C88" s="10" t="s">
        <v>583</v>
      </c>
      <c r="D88" s="10" t="s">
        <v>83</v>
      </c>
      <c r="E88" s="10" t="s">
        <v>84</v>
      </c>
      <c r="F88" s="12" t="s">
        <v>592</v>
      </c>
      <c r="G88" s="10"/>
      <c r="H88" s="10" t="s">
        <v>70</v>
      </c>
      <c r="I88" s="10" t="s">
        <v>593</v>
      </c>
      <c r="J88" s="10" t="s">
        <v>70</v>
      </c>
      <c r="K88" s="10" t="s">
        <v>594</v>
      </c>
      <c r="L88" s="12" t="s">
        <v>586</v>
      </c>
      <c r="M88" s="29">
        <f t="shared" si="1"/>
        <v>-544</v>
      </c>
      <c r="N88" s="31">
        <f>IFERROR(__xludf.DUMMYFUNCTION("IF(Account!$F88&lt;&gt;"""", VALUE(REGEXREPLACE($I88, ""\,"", ""."")), """")"),2264.67)</f>
        <v>2264.67</v>
      </c>
      <c r="O88" s="33">
        <f>IF(Account!$F88&lt;&gt;"", DATEVALUE(MID($A88,4,3) &amp; LEFT($A88,3) &amp; RIGHT($A88,4)) + TIMEVALUE($B88), "")</f>
        <v>43580.39167</v>
      </c>
      <c r="P88" s="34">
        <f>IF(Account!$F88&lt;&gt;"", DATEVALUE(MID($C88,4,3) &amp; LEFT($C88,3) &amp; RIGHT($C88,4)), "")</f>
        <v>43580</v>
      </c>
      <c r="Q88" s="35" t="str">
        <f t="array" ref="Q88">IF($R88&lt;&gt;"",IFERROR(INDEX(Investment!$A:$A,MATCH($R88,Investment!$H:$H,0))),)</f>
        <v>Long term US bonds (20-25 year)</v>
      </c>
      <c r="R88" s="36" t="str">
        <f t="array" ref="R88">IF(AND($Y88="change",$H88="EUR"),IF(AND($AA88="Crédit",$O88=$O89),$R89,IF(AND($AA88="Débit",$O88=$O87),$R87)),IF(OR(AND(OR($E88&lt;&gt;"",$M88=""),$N88&lt;&gt;0),$A88=""),IFERROR(INDEX(Investment!$H:$H,MATCH($E88,Investment!$F:$F,0))),IFERROR(INDEX($R89:$R1119,MATCH(SUBSTITUTE($I88,"-","",1),$K89:$K1119,0)),INDEX($R89:$R1119,MATCH($K88,$K89:$K1119,0)))))</f>
        <v>iShares Treasury Bond 20+ UCITS</v>
      </c>
      <c r="S88" s="35" t="str">
        <f t="shared" si="2"/>
        <v>SELL</v>
      </c>
      <c r="T88" s="37">
        <f t="shared" si="3"/>
        <v>-544</v>
      </c>
      <c r="U88" s="38">
        <f t="shared" si="4"/>
        <v>4.162996324</v>
      </c>
      <c r="V88" s="31">
        <f t="shared" si="5"/>
        <v>2264.67</v>
      </c>
      <c r="W88" s="39" t="str">
        <f>IFERROR(__xludf.DUMMYFUNCTION(" IF(Account!$F88&lt;&gt;"""", SPLIT(Account!$F88, "" ""), """")"),"Vente")</f>
        <v>Vente</v>
      </c>
      <c r="X88" s="54">
        <f>IFERROR(__xludf.DUMMYFUNCTION("""COMPUTED_VALUE"""),544.0)</f>
        <v>544</v>
      </c>
      <c r="Y88" s="54" t="str">
        <f>IFERROR(__xludf.DUMMYFUNCTION("""COMPUTED_VALUE"""),"ISHSIV-DL")</f>
        <v>ISHSIV-DL</v>
      </c>
      <c r="Z88" s="54" t="str">
        <f>IFERROR(__xludf.DUMMYFUNCTION("""COMPUTED_VALUE"""),"T.BD20+YR")</f>
        <v>T.BD20+YR</v>
      </c>
      <c r="AA88" s="54" t="str">
        <f>IFERROR(__xludf.DUMMYFUNCTION("""COMPUTED_VALUE"""),"DL")</f>
        <v>DL</v>
      </c>
      <c r="AB88" s="54" t="str">
        <f>IFERROR(__xludf.DUMMYFUNCTION("""COMPUTED_VALUE"""),"D@4,163")</f>
        <v>D@4,163</v>
      </c>
      <c r="AC88" s="54" t="str">
        <f>IFERROR(__xludf.DUMMYFUNCTION("""COMPUTED_VALUE"""),"EUR")</f>
        <v>EUR</v>
      </c>
      <c r="AD88" s="54" t="str">
        <f>IFERROR(__xludf.DUMMYFUNCTION("""COMPUTED_VALUE"""),"(IE00BSKRJZ44)")</f>
        <v>(IE00BSKRJZ44)</v>
      </c>
      <c r="AE88" s="54"/>
      <c r="AF88" s="54"/>
      <c r="AG88" s="54"/>
      <c r="AH88" s="54"/>
      <c r="AI88" s="54"/>
      <c r="AJ88" s="54"/>
      <c r="AK88" s="54"/>
    </row>
    <row r="89">
      <c r="A89" s="10" t="s">
        <v>597</v>
      </c>
      <c r="B89" s="10" t="s">
        <v>598</v>
      </c>
      <c r="C89" s="10" t="s">
        <v>597</v>
      </c>
      <c r="D89" s="10" t="s">
        <v>241</v>
      </c>
      <c r="E89" s="10" t="s">
        <v>242</v>
      </c>
      <c r="F89" s="12" t="s">
        <v>599</v>
      </c>
      <c r="G89" s="10"/>
      <c r="H89" s="10" t="s">
        <v>70</v>
      </c>
      <c r="I89" s="10" t="s">
        <v>600</v>
      </c>
      <c r="J89" s="10" t="s">
        <v>70</v>
      </c>
      <c r="K89" s="10" t="s">
        <v>601</v>
      </c>
      <c r="L89" s="12" t="s">
        <v>602</v>
      </c>
      <c r="M89" s="29">
        <f t="shared" si="1"/>
        <v>-6</v>
      </c>
      <c r="N89" s="31">
        <f>IFERROR(__xludf.DUMMYFUNCTION("IF(Account!$F89&lt;&gt;"""", VALUE(REGEXREPLACE($I89, ""\,"", ""."")), """")"),1050.0)</f>
        <v>1050</v>
      </c>
      <c r="O89" s="33">
        <f>IF(Account!$F89&lt;&gt;"", DATEVALUE(MID($A89,4,3) &amp; LEFT($A89,3) &amp; RIGHT($A89,4)) + TIMEVALUE($B89), "")</f>
        <v>43579.72708</v>
      </c>
      <c r="P89" s="34">
        <f>IF(Account!$F89&lt;&gt;"", DATEVALUE(MID($C89,4,3) &amp; LEFT($C89,3) &amp; RIGHT($C89,4)), "")</f>
        <v>43579</v>
      </c>
      <c r="Q89" s="35" t="str">
        <f t="array" ref="Q89">IF($R89&lt;&gt;"",IFERROR(INDEX(Investment!$A:$A,MATCH($R89,Investment!$H:$H,0))),)</f>
        <v>Intermediate US bonds (7-10 year)</v>
      </c>
      <c r="R89" s="36" t="str">
        <f t="array" ref="R89">IF(AND($Y89="change",$H89="EUR"),IF(AND($AA89="Crédit",$O89=$O90),$R90,IF(AND($AA89="Débit",$O89=$O88),$R88)),IF(OR(AND(OR($E89&lt;&gt;"",$M89=""),$N89&lt;&gt;0),$A89=""),IFERROR(INDEX(Investment!$H:$H,MATCH($E89,Investment!$F:$F,0))),IFERROR(INDEX($R90:$R1119,MATCH(SUBSTITUTE($I89,"-","",1),$K90:$K1119,0)),INDEX($R90:$R1119,MATCH($K89,$K90:$K1119,0)))))</f>
        <v>iShares Treasury Bond 7-10 UCITS</v>
      </c>
      <c r="S89" s="35" t="str">
        <f t="shared" si="2"/>
        <v>SELL</v>
      </c>
      <c r="T89" s="37">
        <f t="shared" si="3"/>
        <v>-6</v>
      </c>
      <c r="U89" s="38">
        <f t="shared" si="4"/>
        <v>175</v>
      </c>
      <c r="V89" s="31">
        <f t="shared" si="5"/>
        <v>1050</v>
      </c>
      <c r="W89" s="39" t="str">
        <f>IFERROR(__xludf.DUMMYFUNCTION(" IF(Account!$F89&lt;&gt;"""", SPLIT(Account!$F89, "" ""), """")"),"Vente")</f>
        <v>Vente</v>
      </c>
      <c r="X89" s="54">
        <f>IFERROR(__xludf.DUMMYFUNCTION("""COMPUTED_VALUE"""),6.0)</f>
        <v>6</v>
      </c>
      <c r="Y89" s="54" t="str">
        <f>IFERROR(__xludf.DUMMYFUNCTION("""COMPUTED_VALUE"""),"ISHARES")</f>
        <v>ISHARES</v>
      </c>
      <c r="Z89" s="54" t="str">
        <f>IFERROR(__xludf.DUMMYFUNCTION("""COMPUTED_VALUE"""),"US")</f>
        <v>US</v>
      </c>
      <c r="AA89" s="54" t="str">
        <f>IFERROR(__xludf.DUMMYFUNCTION("""COMPUTED_VALUE"""),"T")</f>
        <v>T</v>
      </c>
      <c r="AB89" s="54" t="str">
        <f>IFERROR(__xludf.DUMMYFUNCTION("""COMPUTED_VALUE"""),"7-10@175")</f>
        <v>7-10@175</v>
      </c>
      <c r="AC89" s="54" t="str">
        <f>IFERROR(__xludf.DUMMYFUNCTION("""COMPUTED_VALUE"""),"EUR")</f>
        <v>EUR</v>
      </c>
      <c r="AD89" s="54" t="str">
        <f>IFERROR(__xludf.DUMMYFUNCTION("""COMPUTED_VALUE"""),"(IE00B1FZS798)")</f>
        <v>(IE00B1FZS798)</v>
      </c>
      <c r="AE89" s="54"/>
      <c r="AF89" s="54"/>
      <c r="AG89" s="54"/>
      <c r="AH89" s="54"/>
      <c r="AI89" s="54"/>
      <c r="AJ89" s="54"/>
      <c r="AK89" s="54"/>
    </row>
    <row r="90">
      <c r="A90" s="10" t="s">
        <v>597</v>
      </c>
      <c r="B90" s="10" t="s">
        <v>604</v>
      </c>
      <c r="C90" s="10" t="s">
        <v>597</v>
      </c>
      <c r="D90" s="10" t="s">
        <v>140</v>
      </c>
      <c r="E90" s="10" t="s">
        <v>141</v>
      </c>
      <c r="F90" s="12" t="s">
        <v>605</v>
      </c>
      <c r="G90" s="10"/>
      <c r="H90" s="10" t="s">
        <v>70</v>
      </c>
      <c r="I90" s="10" t="s">
        <v>606</v>
      </c>
      <c r="J90" s="10" t="s">
        <v>70</v>
      </c>
      <c r="K90" s="10" t="s">
        <v>607</v>
      </c>
      <c r="L90" s="12" t="s">
        <v>608</v>
      </c>
      <c r="M90" s="29">
        <f t="shared" si="1"/>
        <v>-21</v>
      </c>
      <c r="N90" s="31">
        <f>IFERROR(__xludf.DUMMYFUNCTION("IF(Account!$F90&lt;&gt;"""", VALUE(REGEXREPLACE($I90, ""\,"", ""."")), """")"),1044.31)</f>
        <v>1044.31</v>
      </c>
      <c r="O90" s="33">
        <f>IF(Account!$F90&lt;&gt;"", DATEVALUE(MID($A90,4,3) &amp; LEFT($A90,3) &amp; RIGHT($A90,4)) + TIMEVALUE($B90), "")</f>
        <v>43579.67569</v>
      </c>
      <c r="P90" s="34">
        <f>IF(Account!$F90&lt;&gt;"", DATEVALUE(MID($C90,4,3) &amp; LEFT($C90,3) &amp; RIGHT($C90,4)), "")</f>
        <v>43579</v>
      </c>
      <c r="Q90" s="35" t="str">
        <f t="array" ref="Q90">IF($R90&lt;&gt;"",IFERROR(INDEX(Investment!$A:$A,MATCH($R90,Investment!$H:$H,0))),)</f>
        <v>Stocks</v>
      </c>
      <c r="R90" s="36" t="str">
        <f t="array" ref="R90">IF(AND($Y90="change",$H90="EUR"),IF(AND($AA90="Crédit",$O90=$O91),$R91,IF(AND($AA90="Débit",$O90=$O89),$R89)),IF(OR(AND(OR($E90&lt;&gt;"",$M90=""),$N90&lt;&gt;0),$A90=""),IFERROR(INDEX(Investment!$H:$H,MATCH($E90,Investment!$F:$F,0))),IFERROR(INDEX($R91:$R1119,MATCH(SUBSTITUTE($I90,"-","",1),$K91:$K1119,0)),INDEX($R91:$R1119,MATCH($K90,$K91:$K1119,0)))))</f>
        <v>Vanguard S&amp;P 500 UCITS</v>
      </c>
      <c r="S90" s="35" t="str">
        <f t="shared" si="2"/>
        <v>SELL</v>
      </c>
      <c r="T90" s="37">
        <f t="shared" si="3"/>
        <v>-21</v>
      </c>
      <c r="U90" s="38">
        <f t="shared" si="4"/>
        <v>49.72904762</v>
      </c>
      <c r="V90" s="31">
        <f t="shared" si="5"/>
        <v>1044.31</v>
      </c>
      <c r="W90" s="39" t="str">
        <f>IFERROR(__xludf.DUMMYFUNCTION(" IF(Account!$F90&lt;&gt;"""", SPLIT(Account!$F90, "" ""), """")"),"Vente")</f>
        <v>Vente</v>
      </c>
      <c r="X90" s="54">
        <f>IFERROR(__xludf.DUMMYFUNCTION("""COMPUTED_VALUE"""),21.0)</f>
        <v>21</v>
      </c>
      <c r="Y90" s="54" t="str">
        <f>IFERROR(__xludf.DUMMYFUNCTION("""COMPUTED_VALUE"""),"VANGUARD")</f>
        <v>VANGUARD</v>
      </c>
      <c r="Z90" s="54" t="str">
        <f>IFERROR(__xludf.DUMMYFUNCTION("""COMPUTED_VALUE"""),"S&amp;P500@49,729")</f>
        <v>S&amp;P500@49,729</v>
      </c>
      <c r="AA90" s="54" t="str">
        <f>IFERROR(__xludf.DUMMYFUNCTION("""COMPUTED_VALUE"""),"EUR")</f>
        <v>EUR</v>
      </c>
      <c r="AB90" s="54" t="str">
        <f>IFERROR(__xludf.DUMMYFUNCTION("""COMPUTED_VALUE"""),"(IE00B3XXRP09)")</f>
        <v>(IE00B3XXRP09)</v>
      </c>
      <c r="AC90" s="54"/>
      <c r="AD90" s="54"/>
      <c r="AE90" s="54"/>
      <c r="AF90" s="54"/>
      <c r="AG90" s="54"/>
      <c r="AH90" s="54"/>
      <c r="AI90" s="54"/>
      <c r="AJ90" s="54"/>
      <c r="AK90" s="54"/>
    </row>
    <row r="91">
      <c r="A91" s="10" t="s">
        <v>597</v>
      </c>
      <c r="B91" s="10" t="s">
        <v>611</v>
      </c>
      <c r="C91" s="10" t="s">
        <v>597</v>
      </c>
      <c r="D91" s="10" t="s">
        <v>83</v>
      </c>
      <c r="E91" s="10" t="s">
        <v>84</v>
      </c>
      <c r="F91" s="12" t="s">
        <v>222</v>
      </c>
      <c r="G91" s="10"/>
      <c r="H91" s="10" t="s">
        <v>70</v>
      </c>
      <c r="I91" s="10" t="s">
        <v>223</v>
      </c>
      <c r="J91" s="10" t="s">
        <v>70</v>
      </c>
      <c r="K91" s="10" t="s">
        <v>612</v>
      </c>
      <c r="L91" s="12" t="s">
        <v>613</v>
      </c>
      <c r="M91" s="29" t="str">
        <f t="shared" si="1"/>
        <v/>
      </c>
      <c r="N91" s="31">
        <f>IFERROR(__xludf.DUMMYFUNCTION("IF(Account!$F91&lt;&gt;"""", VALUE(REGEXREPLACE($I91, ""\,"", ""."")), """")"),-2.0)</f>
        <v>-2</v>
      </c>
      <c r="O91" s="33">
        <f>IF(Account!$F91&lt;&gt;"", DATEVALUE(MID($A91,4,3) &amp; LEFT($A91,3) &amp; RIGHT($A91,4)) + TIMEVALUE($B91), "")</f>
        <v>43579.65764</v>
      </c>
      <c r="P91" s="34">
        <f>IF(Account!$F91&lt;&gt;"", DATEVALUE(MID($C91,4,3) &amp; LEFT($C91,3) &amp; RIGHT($C91,4)), "")</f>
        <v>43579</v>
      </c>
      <c r="Q91" s="35" t="str">
        <f t="array" ref="Q91">IF($R91&lt;&gt;"",IFERROR(INDEX(Investment!$A:$A,MATCH($R91,Investment!$H:$H,0))),)</f>
        <v>Long term US bonds (20-25 year)</v>
      </c>
      <c r="R91" s="36" t="str">
        <f t="array" ref="R91">IF(AND($Y91="change",$H91="EUR"),IF(AND($AA91="Crédit",$O91=$O92),$R92,IF(AND($AA91="Débit",$O91=$O90),$R90)),IF(OR(AND(OR($E91&lt;&gt;"",$M91=""),$N91&lt;&gt;0),$A91=""),IFERROR(INDEX(Investment!$H:$H,MATCH($E91,Investment!$F:$F,0))),IFERROR(INDEX($R92:$R1119,MATCH(SUBSTITUTE($I91,"-","",1),$K92:$K1119,0)),INDEX($R92:$R1119,MATCH($K91,$K92:$K1119,0)))))</f>
        <v>iShares Treasury Bond 20+ UCITS</v>
      </c>
      <c r="S91" s="35" t="str">
        <f t="shared" si="2"/>
        <v>COST</v>
      </c>
      <c r="T91" s="37" t="str">
        <f t="shared" si="3"/>
        <v/>
      </c>
      <c r="U91" s="38" t="str">
        <f t="shared" si="4"/>
        <v/>
      </c>
      <c r="V91" s="31">
        <f t="shared" si="5"/>
        <v>-2.27</v>
      </c>
      <c r="W91" s="39" t="str">
        <f>IFERROR(__xludf.DUMMYFUNCTION(" IF(Account!$F91&lt;&gt;"""", SPLIT(Account!$F91, "" ""), """")"),"Frais")</f>
        <v>Frais</v>
      </c>
      <c r="X91" s="54" t="str">
        <f>IFERROR(__xludf.DUMMYFUNCTION("""COMPUTED_VALUE"""),"de")</f>
        <v>de</v>
      </c>
      <c r="Y91" s="54" t="str">
        <f>IFERROR(__xludf.DUMMYFUNCTION("""COMPUTED_VALUE"""),"courtage")</f>
        <v>courtage</v>
      </c>
      <c r="Z91" s="54"/>
      <c r="AA91" s="54"/>
      <c r="AB91" s="54"/>
      <c r="AC91" s="54"/>
      <c r="AD91" s="54"/>
      <c r="AE91" s="54"/>
      <c r="AF91" s="54"/>
      <c r="AG91" s="54"/>
      <c r="AH91" s="54"/>
      <c r="AI91" s="54"/>
      <c r="AJ91" s="54"/>
      <c r="AK91" s="54"/>
    </row>
    <row r="92">
      <c r="A92" s="10" t="s">
        <v>597</v>
      </c>
      <c r="B92" s="10" t="s">
        <v>611</v>
      </c>
      <c r="C92" s="10" t="s">
        <v>597</v>
      </c>
      <c r="D92" s="10" t="s">
        <v>83</v>
      </c>
      <c r="E92" s="10" t="s">
        <v>84</v>
      </c>
      <c r="F92" s="12" t="s">
        <v>222</v>
      </c>
      <c r="G92" s="10"/>
      <c r="H92" s="10" t="s">
        <v>70</v>
      </c>
      <c r="I92" s="10" t="s">
        <v>616</v>
      </c>
      <c r="J92" s="10" t="s">
        <v>70</v>
      </c>
      <c r="K92" s="10" t="s">
        <v>617</v>
      </c>
      <c r="L92" s="12" t="s">
        <v>613</v>
      </c>
      <c r="M92" s="29" t="str">
        <f t="shared" si="1"/>
        <v/>
      </c>
      <c r="N92" s="31">
        <f>IFERROR(__xludf.DUMMYFUNCTION("IF(Account!$F92&lt;&gt;"""", VALUE(REGEXREPLACE($I92, ""\,"", ""."")), """")"),-0.27)</f>
        <v>-0.27</v>
      </c>
      <c r="O92" s="33">
        <f>IF(Account!$F92&lt;&gt;"", DATEVALUE(MID($A92,4,3) &amp; LEFT($A92,3) &amp; RIGHT($A92,4)) + TIMEVALUE($B92), "")</f>
        <v>43579.65764</v>
      </c>
      <c r="P92" s="34">
        <f>IF(Account!$F92&lt;&gt;"", DATEVALUE(MID($C92,4,3) &amp; LEFT($C92,3) &amp; RIGHT($C92,4)), "")</f>
        <v>43579</v>
      </c>
      <c r="Q92" s="35" t="str">
        <f t="array" ref="Q92">IF($R92&lt;&gt;"",IFERROR(INDEX(Investment!$A:$A,MATCH($R92,Investment!$H:$H,0))),)</f>
        <v>Long term US bonds (20-25 year)</v>
      </c>
      <c r="R92" s="36" t="str">
        <f t="array" ref="R92">IF(AND($Y92="change",$H92="EUR"),IF(AND($AA92="Crédit",$O92=$O93),$R93,IF(AND($AA92="Débit",$O92=$O91),$R91)),IF(OR(AND(OR($E92&lt;&gt;"",$M92=""),$N92&lt;&gt;0),$A92=""),IFERROR(INDEX(Investment!$H:$H,MATCH($E92,Investment!$F:$F,0))),IFERROR(INDEX($R93:$R1119,MATCH(SUBSTITUTE($I92,"-","",1),$K93:$K1119,0)),INDEX($R93:$R1119,MATCH($K92,$K93:$K1119,0)))))</f>
        <v>iShares Treasury Bond 20+ UCITS</v>
      </c>
      <c r="S92" s="35" t="str">
        <f t="shared" si="2"/>
        <v>COST</v>
      </c>
      <c r="T92" s="37" t="str">
        <f t="shared" si="3"/>
        <v/>
      </c>
      <c r="U92" s="38" t="str">
        <f t="shared" si="4"/>
        <v/>
      </c>
      <c r="V92" s="31">
        <f t="shared" si="5"/>
        <v>-2.27</v>
      </c>
      <c r="W92" s="39" t="str">
        <f>IFERROR(__xludf.DUMMYFUNCTION(" IF(Account!$F92&lt;&gt;"""", SPLIT(Account!$F92, "" ""), """")"),"Frais")</f>
        <v>Frais</v>
      </c>
      <c r="X92" s="54" t="str">
        <f>IFERROR(__xludf.DUMMYFUNCTION("""COMPUTED_VALUE"""),"de")</f>
        <v>de</v>
      </c>
      <c r="Y92" s="54" t="str">
        <f>IFERROR(__xludf.DUMMYFUNCTION("""COMPUTED_VALUE"""),"courtage")</f>
        <v>courtage</v>
      </c>
      <c r="Z92" s="54"/>
      <c r="AA92" s="54"/>
      <c r="AB92" s="54"/>
      <c r="AC92" s="54"/>
      <c r="AD92" s="54"/>
      <c r="AE92" s="54"/>
      <c r="AF92" s="54"/>
      <c r="AG92" s="54"/>
      <c r="AH92" s="54"/>
      <c r="AI92" s="54"/>
      <c r="AJ92" s="54"/>
      <c r="AK92" s="54"/>
    </row>
    <row r="93">
      <c r="A93" s="10" t="s">
        <v>597</v>
      </c>
      <c r="B93" s="10" t="s">
        <v>611</v>
      </c>
      <c r="C93" s="10" t="s">
        <v>597</v>
      </c>
      <c r="D93" s="10" t="s">
        <v>83</v>
      </c>
      <c r="E93" s="10" t="s">
        <v>84</v>
      </c>
      <c r="F93" s="12" t="s">
        <v>620</v>
      </c>
      <c r="G93" s="10"/>
      <c r="H93" s="10" t="s">
        <v>70</v>
      </c>
      <c r="I93" s="10" t="s">
        <v>621</v>
      </c>
      <c r="J93" s="10" t="s">
        <v>70</v>
      </c>
      <c r="K93" s="10" t="s">
        <v>622</v>
      </c>
      <c r="L93" s="12" t="s">
        <v>613</v>
      </c>
      <c r="M93" s="29">
        <f t="shared" si="1"/>
        <v>-330</v>
      </c>
      <c r="N93" s="31">
        <f>IFERROR(__xludf.DUMMYFUNCTION("IF(Account!$F93&lt;&gt;"""", VALUE(REGEXREPLACE($I93, ""\,"", ""."")), """")"),1366.53)</f>
        <v>1366.53</v>
      </c>
      <c r="O93" s="33">
        <f>IF(Account!$F93&lt;&gt;"", DATEVALUE(MID($A93,4,3) &amp; LEFT($A93,3) &amp; RIGHT($A93,4)) + TIMEVALUE($B93), "")</f>
        <v>43579.65764</v>
      </c>
      <c r="P93" s="34">
        <f>IF(Account!$F93&lt;&gt;"", DATEVALUE(MID($C93,4,3) &amp; LEFT($C93,3) &amp; RIGHT($C93,4)), "")</f>
        <v>43579</v>
      </c>
      <c r="Q93" s="35" t="str">
        <f t="array" ref="Q93">IF($R93&lt;&gt;"",IFERROR(INDEX(Investment!$A:$A,MATCH($R93,Investment!$H:$H,0))),)</f>
        <v>Long term US bonds (20-25 year)</v>
      </c>
      <c r="R93" s="36" t="str">
        <f t="array" ref="R93">IF(AND($Y93="change",$H93="EUR"),IF(AND($AA93="Crédit",$O93=$O94),$R94,IF(AND($AA93="Débit",$O93=$O92),$R92)),IF(OR(AND(OR($E93&lt;&gt;"",$M93=""),$N93&lt;&gt;0),$A93=""),IFERROR(INDEX(Investment!$H:$H,MATCH($E93,Investment!$F:$F,0))),IFERROR(INDEX($R94:$R1119,MATCH(SUBSTITUTE($I93,"-","",1),$K94:$K1119,0)),INDEX($R94:$R1119,MATCH($K93,$K94:$K1119,0)))))</f>
        <v>iShares Treasury Bond 20+ UCITS</v>
      </c>
      <c r="S93" s="35" t="str">
        <f t="shared" si="2"/>
        <v>SELL</v>
      </c>
      <c r="T93" s="37">
        <f t="shared" si="3"/>
        <v>-330</v>
      </c>
      <c r="U93" s="38">
        <f t="shared" si="4"/>
        <v>4.141</v>
      </c>
      <c r="V93" s="31">
        <f t="shared" si="5"/>
        <v>1366.53</v>
      </c>
      <c r="W93" s="39" t="str">
        <f>IFERROR(__xludf.DUMMYFUNCTION(" IF(Account!$F93&lt;&gt;"""", SPLIT(Account!$F93, "" ""), """")"),"Vente")</f>
        <v>Vente</v>
      </c>
      <c r="X93" s="54">
        <f>IFERROR(__xludf.DUMMYFUNCTION("""COMPUTED_VALUE"""),330.0)</f>
        <v>330</v>
      </c>
      <c r="Y93" s="54" t="str">
        <f>IFERROR(__xludf.DUMMYFUNCTION("""COMPUTED_VALUE"""),"ISHSIV-DL")</f>
        <v>ISHSIV-DL</v>
      </c>
      <c r="Z93" s="54" t="str">
        <f>IFERROR(__xludf.DUMMYFUNCTION("""COMPUTED_VALUE"""),"T.BD20+YR")</f>
        <v>T.BD20+YR</v>
      </c>
      <c r="AA93" s="54" t="str">
        <f>IFERROR(__xludf.DUMMYFUNCTION("""COMPUTED_VALUE"""),"DL")</f>
        <v>DL</v>
      </c>
      <c r="AB93" s="54" t="str">
        <f>IFERROR(__xludf.DUMMYFUNCTION("""COMPUTED_VALUE"""),"D@4,141")</f>
        <v>D@4,141</v>
      </c>
      <c r="AC93" s="54" t="str">
        <f>IFERROR(__xludf.DUMMYFUNCTION("""COMPUTED_VALUE"""),"EUR")</f>
        <v>EUR</v>
      </c>
      <c r="AD93" s="54" t="str">
        <f>IFERROR(__xludf.DUMMYFUNCTION("""COMPUTED_VALUE"""),"(IE00BSKRJZ44)")</f>
        <v>(IE00BSKRJZ44)</v>
      </c>
      <c r="AE93" s="54"/>
      <c r="AF93" s="54"/>
      <c r="AG93" s="54"/>
      <c r="AH93" s="54"/>
      <c r="AI93" s="54"/>
      <c r="AJ93" s="54"/>
      <c r="AK93" s="54"/>
    </row>
    <row r="94">
      <c r="A94" s="10" t="s">
        <v>597</v>
      </c>
      <c r="B94" s="10" t="s">
        <v>629</v>
      </c>
      <c r="C94" s="10" t="s">
        <v>597</v>
      </c>
      <c r="D94" s="10" t="s">
        <v>83</v>
      </c>
      <c r="E94" s="10" t="s">
        <v>84</v>
      </c>
      <c r="F94" s="12" t="s">
        <v>222</v>
      </c>
      <c r="G94" s="10"/>
      <c r="H94" s="10" t="s">
        <v>70</v>
      </c>
      <c r="I94" s="10" t="s">
        <v>223</v>
      </c>
      <c r="J94" s="10" t="s">
        <v>70</v>
      </c>
      <c r="K94" s="10" t="s">
        <v>630</v>
      </c>
      <c r="L94" s="12" t="s">
        <v>631</v>
      </c>
      <c r="M94" s="29" t="str">
        <f t="shared" si="1"/>
        <v/>
      </c>
      <c r="N94" s="31">
        <f>IFERROR(__xludf.DUMMYFUNCTION("IF(Account!$F94&lt;&gt;"""", VALUE(REGEXREPLACE($I94, ""\,"", ""."")), """")"),-2.0)</f>
        <v>-2</v>
      </c>
      <c r="O94" s="33">
        <f>IF(Account!$F94&lt;&gt;"", DATEVALUE(MID($A94,4,3) &amp; LEFT($A94,3) &amp; RIGHT($A94,4)) + TIMEVALUE($B94), "")</f>
        <v>43579.61667</v>
      </c>
      <c r="P94" s="34">
        <f>IF(Account!$F94&lt;&gt;"", DATEVALUE(MID($C94,4,3) &amp; LEFT($C94,3) &amp; RIGHT($C94,4)), "")</f>
        <v>43579</v>
      </c>
      <c r="Q94" s="35" t="str">
        <f t="array" ref="Q94">IF($R94&lt;&gt;"",IFERROR(INDEX(Investment!$A:$A,MATCH($R94,Investment!$H:$H,0))),)</f>
        <v>Long term US bonds (20-25 year)</v>
      </c>
      <c r="R94" s="36" t="str">
        <f t="array" ref="R94">IF(AND($Y94="change",$H94="EUR"),IF(AND($AA94="Crédit",$O94=$O95),$R95,IF(AND($AA94="Débit",$O94=$O93),$R93)),IF(OR(AND(OR($E94&lt;&gt;"",$M94=""),$N94&lt;&gt;0),$A94=""),IFERROR(INDEX(Investment!$H:$H,MATCH($E94,Investment!$F:$F,0))),IFERROR(INDEX($R95:$R1119,MATCH(SUBSTITUTE($I94,"-","",1),$K95:$K1119,0)),INDEX($R95:$R1119,MATCH($K94,$K95:$K1119,0)))))</f>
        <v>iShares Treasury Bond 20+ UCITS</v>
      </c>
      <c r="S94" s="35" t="str">
        <f t="shared" si="2"/>
        <v>COST</v>
      </c>
      <c r="T94" s="37" t="str">
        <f t="shared" si="3"/>
        <v/>
      </c>
      <c r="U94" s="38" t="str">
        <f t="shared" si="4"/>
        <v/>
      </c>
      <c r="V94" s="31">
        <f t="shared" si="5"/>
        <v>-2.26</v>
      </c>
      <c r="W94" s="39" t="str">
        <f>IFERROR(__xludf.DUMMYFUNCTION(" IF(Account!$F94&lt;&gt;"""", SPLIT(Account!$F94, "" ""), """")"),"Frais")</f>
        <v>Frais</v>
      </c>
      <c r="X94" s="54" t="str">
        <f>IFERROR(__xludf.DUMMYFUNCTION("""COMPUTED_VALUE"""),"de")</f>
        <v>de</v>
      </c>
      <c r="Y94" s="54" t="str">
        <f>IFERROR(__xludf.DUMMYFUNCTION("""COMPUTED_VALUE"""),"courtage")</f>
        <v>courtage</v>
      </c>
      <c r="Z94" s="54"/>
      <c r="AA94" s="54"/>
      <c r="AB94" s="54"/>
      <c r="AC94" s="54"/>
      <c r="AD94" s="54"/>
      <c r="AE94" s="54"/>
      <c r="AF94" s="54"/>
      <c r="AG94" s="54"/>
      <c r="AH94" s="54"/>
      <c r="AI94" s="54"/>
      <c r="AJ94" s="54"/>
      <c r="AK94" s="54"/>
    </row>
    <row r="95">
      <c r="A95" s="10" t="s">
        <v>597</v>
      </c>
      <c r="B95" s="10" t="s">
        <v>629</v>
      </c>
      <c r="C95" s="10" t="s">
        <v>597</v>
      </c>
      <c r="D95" s="10" t="s">
        <v>83</v>
      </c>
      <c r="E95" s="10" t="s">
        <v>84</v>
      </c>
      <c r="F95" s="12" t="s">
        <v>222</v>
      </c>
      <c r="G95" s="10"/>
      <c r="H95" s="10" t="s">
        <v>70</v>
      </c>
      <c r="I95" s="10" t="s">
        <v>322</v>
      </c>
      <c r="J95" s="10" t="s">
        <v>70</v>
      </c>
      <c r="K95" s="10" t="s">
        <v>639</v>
      </c>
      <c r="L95" s="12" t="s">
        <v>631</v>
      </c>
      <c r="M95" s="29" t="str">
        <f t="shared" si="1"/>
        <v/>
      </c>
      <c r="N95" s="31">
        <f>IFERROR(__xludf.DUMMYFUNCTION("IF(Account!$F95&lt;&gt;"""", VALUE(REGEXREPLACE($I95, ""\,"", ""."")), """")"),-0.26)</f>
        <v>-0.26</v>
      </c>
      <c r="O95" s="33">
        <f>IF(Account!$F95&lt;&gt;"", DATEVALUE(MID($A95,4,3) &amp; LEFT($A95,3) &amp; RIGHT($A95,4)) + TIMEVALUE($B95), "")</f>
        <v>43579.61667</v>
      </c>
      <c r="P95" s="34">
        <f>IF(Account!$F95&lt;&gt;"", DATEVALUE(MID($C95,4,3) &amp; LEFT($C95,3) &amp; RIGHT($C95,4)), "")</f>
        <v>43579</v>
      </c>
      <c r="Q95" s="35" t="str">
        <f t="array" ref="Q95">IF($R95&lt;&gt;"",IFERROR(INDEX(Investment!$A:$A,MATCH($R95,Investment!$H:$H,0))),)</f>
        <v>Long term US bonds (20-25 year)</v>
      </c>
      <c r="R95" s="36" t="str">
        <f t="array" ref="R95">IF(AND($Y95="change",$H95="EUR"),IF(AND($AA95="Crédit",$O95=$O96),$R96,IF(AND($AA95="Débit",$O95=$O94),$R94)),IF(OR(AND(OR($E95&lt;&gt;"",$M95=""),$N95&lt;&gt;0),$A95=""),IFERROR(INDEX(Investment!$H:$H,MATCH($E95,Investment!$F:$F,0))),IFERROR(INDEX($R96:$R1119,MATCH(SUBSTITUTE($I95,"-","",1),$K96:$K1119,0)),INDEX($R96:$R1119,MATCH($K95,$K96:$K1119,0)))))</f>
        <v>iShares Treasury Bond 20+ UCITS</v>
      </c>
      <c r="S95" s="35" t="str">
        <f t="shared" si="2"/>
        <v>COST</v>
      </c>
      <c r="T95" s="37" t="str">
        <f t="shared" si="3"/>
        <v/>
      </c>
      <c r="U95" s="38" t="str">
        <f t="shared" si="4"/>
        <v/>
      </c>
      <c r="V95" s="31">
        <f t="shared" si="5"/>
        <v>-2.26</v>
      </c>
      <c r="W95" s="39" t="str">
        <f>IFERROR(__xludf.DUMMYFUNCTION(" IF(Account!$F95&lt;&gt;"""", SPLIT(Account!$F95, "" ""), """")"),"Frais")</f>
        <v>Frais</v>
      </c>
      <c r="X95" s="54" t="str">
        <f>IFERROR(__xludf.DUMMYFUNCTION("""COMPUTED_VALUE"""),"de")</f>
        <v>de</v>
      </c>
      <c r="Y95" s="54" t="str">
        <f>IFERROR(__xludf.DUMMYFUNCTION("""COMPUTED_VALUE"""),"courtage")</f>
        <v>courtage</v>
      </c>
      <c r="Z95" s="54"/>
      <c r="AA95" s="54"/>
      <c r="AB95" s="54"/>
      <c r="AC95" s="54"/>
      <c r="AD95" s="54"/>
      <c r="AE95" s="54"/>
      <c r="AF95" s="54"/>
      <c r="AG95" s="54"/>
      <c r="AH95" s="54"/>
      <c r="AI95" s="54"/>
      <c r="AJ95" s="54"/>
      <c r="AK95" s="54"/>
    </row>
    <row r="96">
      <c r="A96" s="10" t="s">
        <v>597</v>
      </c>
      <c r="B96" s="10" t="s">
        <v>629</v>
      </c>
      <c r="C96" s="10" t="s">
        <v>597</v>
      </c>
      <c r="D96" s="10" t="s">
        <v>83</v>
      </c>
      <c r="E96" s="10" t="s">
        <v>84</v>
      </c>
      <c r="F96" s="12" t="s">
        <v>645</v>
      </c>
      <c r="G96" s="10"/>
      <c r="H96" s="10" t="s">
        <v>70</v>
      </c>
      <c r="I96" s="10" t="s">
        <v>646</v>
      </c>
      <c r="J96" s="10" t="s">
        <v>70</v>
      </c>
      <c r="K96" s="10" t="s">
        <v>647</v>
      </c>
      <c r="L96" s="12" t="s">
        <v>631</v>
      </c>
      <c r="M96" s="29">
        <f t="shared" si="1"/>
        <v>-320</v>
      </c>
      <c r="N96" s="31">
        <f>IFERROR(__xludf.DUMMYFUNCTION("IF(Account!$F96&lt;&gt;"""", VALUE(REGEXREPLACE($I96, ""\,"", ""."")), """")"),1323.42)</f>
        <v>1323.42</v>
      </c>
      <c r="O96" s="33">
        <f>IF(Account!$F96&lt;&gt;"", DATEVALUE(MID($A96,4,3) &amp; LEFT($A96,3) &amp; RIGHT($A96,4)) + TIMEVALUE($B96), "")</f>
        <v>43579.61667</v>
      </c>
      <c r="P96" s="34">
        <f>IF(Account!$F96&lt;&gt;"", DATEVALUE(MID($C96,4,3) &amp; LEFT($C96,3) &amp; RIGHT($C96,4)), "")</f>
        <v>43579</v>
      </c>
      <c r="Q96" s="35" t="str">
        <f t="array" ref="Q96">IF($R96&lt;&gt;"",IFERROR(INDEX(Investment!$A:$A,MATCH($R96,Investment!$H:$H,0))),)</f>
        <v>Long term US bonds (20-25 year)</v>
      </c>
      <c r="R96" s="36" t="str">
        <f t="array" ref="R96">IF(AND($Y96="change",$H96="EUR"),IF(AND($AA96="Crédit",$O96=$O97),$R97,IF(AND($AA96="Débit",$O96=$O95),$R95)),IF(OR(AND(OR($E96&lt;&gt;"",$M96=""),$N96&lt;&gt;0),$A96=""),IFERROR(INDEX(Investment!$H:$H,MATCH($E96,Investment!$F:$F,0))),IFERROR(INDEX($R97:$R1119,MATCH(SUBSTITUTE($I96,"-","",1),$K97:$K1119,0)),INDEX($R97:$R1119,MATCH($K96,$K97:$K1119,0)))))</f>
        <v>iShares Treasury Bond 20+ UCITS</v>
      </c>
      <c r="S96" s="35" t="str">
        <f t="shared" si="2"/>
        <v>SELL</v>
      </c>
      <c r="T96" s="37">
        <f t="shared" si="3"/>
        <v>-320</v>
      </c>
      <c r="U96" s="38">
        <f t="shared" si="4"/>
        <v>4.1356875</v>
      </c>
      <c r="V96" s="31">
        <f t="shared" si="5"/>
        <v>1323.42</v>
      </c>
      <c r="W96" s="39" t="str">
        <f>IFERROR(__xludf.DUMMYFUNCTION(" IF(Account!$F96&lt;&gt;"""", SPLIT(Account!$F96, "" ""), """")"),"Vente")</f>
        <v>Vente</v>
      </c>
      <c r="X96" s="54">
        <f>IFERROR(__xludf.DUMMYFUNCTION("""COMPUTED_VALUE"""),320.0)</f>
        <v>320</v>
      </c>
      <c r="Y96" s="54" t="str">
        <f>IFERROR(__xludf.DUMMYFUNCTION("""COMPUTED_VALUE"""),"ISHSIV-DL")</f>
        <v>ISHSIV-DL</v>
      </c>
      <c r="Z96" s="54" t="str">
        <f>IFERROR(__xludf.DUMMYFUNCTION("""COMPUTED_VALUE"""),"T.BD20+YR")</f>
        <v>T.BD20+YR</v>
      </c>
      <c r="AA96" s="54" t="str">
        <f>IFERROR(__xludf.DUMMYFUNCTION("""COMPUTED_VALUE"""),"DL")</f>
        <v>DL</v>
      </c>
      <c r="AB96" s="54" t="str">
        <f>IFERROR(__xludf.DUMMYFUNCTION("""COMPUTED_VALUE"""),"D@4,1357")</f>
        <v>D@4,1357</v>
      </c>
      <c r="AC96" s="54" t="str">
        <f>IFERROR(__xludf.DUMMYFUNCTION("""COMPUTED_VALUE"""),"EUR")</f>
        <v>EUR</v>
      </c>
      <c r="AD96" s="54" t="str">
        <f>IFERROR(__xludf.DUMMYFUNCTION("""COMPUTED_VALUE"""),"(IE00BSKRJZ44)")</f>
        <v>(IE00BSKRJZ44)</v>
      </c>
      <c r="AE96" s="54"/>
      <c r="AF96" s="54"/>
      <c r="AG96" s="54"/>
      <c r="AH96" s="54"/>
      <c r="AI96" s="54"/>
      <c r="AJ96" s="54"/>
      <c r="AK96" s="54"/>
    </row>
    <row r="97">
      <c r="A97" s="10" t="s">
        <v>597</v>
      </c>
      <c r="B97" s="10" t="s">
        <v>629</v>
      </c>
      <c r="C97" s="10" t="s">
        <v>597</v>
      </c>
      <c r="D97" s="10" t="s">
        <v>140</v>
      </c>
      <c r="E97" s="10" t="s">
        <v>141</v>
      </c>
      <c r="F97" s="12" t="s">
        <v>653</v>
      </c>
      <c r="G97" s="10"/>
      <c r="H97" s="10" t="s">
        <v>70</v>
      </c>
      <c r="I97" s="10" t="s">
        <v>655</v>
      </c>
      <c r="J97" s="10" t="s">
        <v>70</v>
      </c>
      <c r="K97" s="10" t="s">
        <v>656</v>
      </c>
      <c r="L97" s="12" t="s">
        <v>657</v>
      </c>
      <c r="M97" s="29">
        <f t="shared" si="1"/>
        <v>-23</v>
      </c>
      <c r="N97" s="31">
        <f>IFERROR(__xludf.DUMMYFUNCTION("IF(Account!$F97&lt;&gt;"""", VALUE(REGEXREPLACE($I97, ""\,"", ""."")), """")"),1143.1)</f>
        <v>1143.1</v>
      </c>
      <c r="O97" s="33">
        <f>IF(Account!$F97&lt;&gt;"", DATEVALUE(MID($A97,4,3) &amp; LEFT($A97,3) &amp; RIGHT($A97,4)) + TIMEVALUE($B97), "")</f>
        <v>43579.61667</v>
      </c>
      <c r="P97" s="34">
        <f>IF(Account!$F97&lt;&gt;"", DATEVALUE(MID($C97,4,3) &amp; LEFT($C97,3) &amp; RIGHT($C97,4)), "")</f>
        <v>43579</v>
      </c>
      <c r="Q97" s="35" t="str">
        <f t="array" ref="Q97">IF($R97&lt;&gt;"",IFERROR(INDEX(Investment!$A:$A,MATCH($R97,Investment!$H:$H,0))),)</f>
        <v>Stocks</v>
      </c>
      <c r="R97" s="36" t="str">
        <f t="array" ref="R97">IF(AND($Y97="change",$H97="EUR"),IF(AND($AA97="Crédit",$O97=$O98),$R98,IF(AND($AA97="Débit",$O97=$O96),$R96)),IF(OR(AND(OR($E97&lt;&gt;"",$M97=""),$N97&lt;&gt;0),$A97=""),IFERROR(INDEX(Investment!$H:$H,MATCH($E97,Investment!$F:$F,0))),IFERROR(INDEX($R98:$R1119,MATCH(SUBSTITUTE($I97,"-","",1),$K98:$K1119,0)),INDEX($R98:$R1119,MATCH($K97,$K98:$K1119,0)))))</f>
        <v>Vanguard S&amp;P 500 UCITS</v>
      </c>
      <c r="S97" s="35" t="str">
        <f t="shared" si="2"/>
        <v>SELL</v>
      </c>
      <c r="T97" s="37">
        <f t="shared" si="3"/>
        <v>-23</v>
      </c>
      <c r="U97" s="38">
        <f t="shared" si="4"/>
        <v>49.7</v>
      </c>
      <c r="V97" s="31">
        <f t="shared" si="5"/>
        <v>1143.1</v>
      </c>
      <c r="W97" s="39" t="str">
        <f>IFERROR(__xludf.DUMMYFUNCTION(" IF(Account!$F97&lt;&gt;"""", SPLIT(Account!$F97, "" ""), """")"),"Vente")</f>
        <v>Vente</v>
      </c>
      <c r="X97" s="54">
        <f>IFERROR(__xludf.DUMMYFUNCTION("""COMPUTED_VALUE"""),23.0)</f>
        <v>23</v>
      </c>
      <c r="Y97" s="54" t="str">
        <f>IFERROR(__xludf.DUMMYFUNCTION("""COMPUTED_VALUE"""),"VANGUARD")</f>
        <v>VANGUARD</v>
      </c>
      <c r="Z97" s="54" t="str">
        <f>IFERROR(__xludf.DUMMYFUNCTION("""COMPUTED_VALUE"""),"S&amp;P500@49,7")</f>
        <v>S&amp;P500@49,7</v>
      </c>
      <c r="AA97" s="54" t="str">
        <f>IFERROR(__xludf.DUMMYFUNCTION("""COMPUTED_VALUE"""),"EUR")</f>
        <v>EUR</v>
      </c>
      <c r="AB97" s="54" t="str">
        <f>IFERROR(__xludf.DUMMYFUNCTION("""COMPUTED_VALUE"""),"(IE00B3XXRP09)")</f>
        <v>(IE00B3XXRP09)</v>
      </c>
      <c r="AC97" s="54"/>
      <c r="AD97" s="54"/>
      <c r="AE97" s="54"/>
      <c r="AF97" s="54"/>
      <c r="AG97" s="54"/>
      <c r="AH97" s="54"/>
      <c r="AI97" s="54"/>
      <c r="AJ97" s="54"/>
      <c r="AK97" s="54"/>
    </row>
    <row r="98">
      <c r="A98" s="10" t="s">
        <v>597</v>
      </c>
      <c r="B98" s="10" t="s">
        <v>663</v>
      </c>
      <c r="C98" s="10" t="s">
        <v>597</v>
      </c>
      <c r="D98" s="10" t="s">
        <v>241</v>
      </c>
      <c r="E98" s="10" t="s">
        <v>242</v>
      </c>
      <c r="F98" s="12" t="s">
        <v>664</v>
      </c>
      <c r="G98" s="10"/>
      <c r="H98" s="10" t="s">
        <v>70</v>
      </c>
      <c r="I98" s="10" t="s">
        <v>665</v>
      </c>
      <c r="J98" s="10" t="s">
        <v>70</v>
      </c>
      <c r="K98" s="10" t="s">
        <v>666</v>
      </c>
      <c r="L98" s="12" t="s">
        <v>667</v>
      </c>
      <c r="M98" s="29">
        <f t="shared" si="1"/>
        <v>-6</v>
      </c>
      <c r="N98" s="31">
        <f>IFERROR(__xludf.DUMMYFUNCTION("IF(Account!$F98&lt;&gt;"""", VALUE(REGEXREPLACE($I98, ""\,"", ""."")), """")"),1048.02)</f>
        <v>1048.02</v>
      </c>
      <c r="O98" s="33">
        <f>IF(Account!$F98&lt;&gt;"", DATEVALUE(MID($A98,4,3) &amp; LEFT($A98,3) &amp; RIGHT($A98,4)) + TIMEVALUE($B98), "")</f>
        <v>43579.60972</v>
      </c>
      <c r="P98" s="34">
        <f>IF(Account!$F98&lt;&gt;"", DATEVALUE(MID($C98,4,3) &amp; LEFT($C98,3) &amp; RIGHT($C98,4)), "")</f>
        <v>43579</v>
      </c>
      <c r="Q98" s="35" t="str">
        <f t="array" ref="Q98">IF($R98&lt;&gt;"",IFERROR(INDEX(Investment!$A:$A,MATCH($R98,Investment!$H:$H,0))),)</f>
        <v>Intermediate US bonds (7-10 year)</v>
      </c>
      <c r="R98" s="36" t="str">
        <f t="array" ref="R98">IF(AND($Y98="change",$H98="EUR"),IF(AND($AA98="Crédit",$O98=$O99),$R99,IF(AND($AA98="Débit",$O98=$O97),$R97)),IF(OR(AND(OR($E98&lt;&gt;"",$M98=""),$N98&lt;&gt;0),$A98=""),IFERROR(INDEX(Investment!$H:$H,MATCH($E98,Investment!$F:$F,0))),IFERROR(INDEX($R99:$R1119,MATCH(SUBSTITUTE($I98,"-","",1),$K99:$K1119,0)),INDEX($R99:$R1119,MATCH($K98,$K99:$K1119,0)))))</f>
        <v>iShares Treasury Bond 7-10 UCITS</v>
      </c>
      <c r="S98" s="35" t="str">
        <f t="shared" si="2"/>
        <v>SELL</v>
      </c>
      <c r="T98" s="37">
        <f t="shared" si="3"/>
        <v>-6</v>
      </c>
      <c r="U98" s="38">
        <f t="shared" si="4"/>
        <v>174.67</v>
      </c>
      <c r="V98" s="31">
        <f t="shared" si="5"/>
        <v>1048.02</v>
      </c>
      <c r="W98" s="39" t="str">
        <f>IFERROR(__xludf.DUMMYFUNCTION(" IF(Account!$F98&lt;&gt;"""", SPLIT(Account!$F98, "" ""), """")"),"Vente")</f>
        <v>Vente</v>
      </c>
      <c r="X98" s="54">
        <f>IFERROR(__xludf.DUMMYFUNCTION("""COMPUTED_VALUE"""),6.0)</f>
        <v>6</v>
      </c>
      <c r="Y98" s="54" t="str">
        <f>IFERROR(__xludf.DUMMYFUNCTION("""COMPUTED_VALUE"""),"ISHARES")</f>
        <v>ISHARES</v>
      </c>
      <c r="Z98" s="54" t="str">
        <f>IFERROR(__xludf.DUMMYFUNCTION("""COMPUTED_VALUE"""),"US")</f>
        <v>US</v>
      </c>
      <c r="AA98" s="54" t="str">
        <f>IFERROR(__xludf.DUMMYFUNCTION("""COMPUTED_VALUE"""),"T")</f>
        <v>T</v>
      </c>
      <c r="AB98" s="54" t="str">
        <f>IFERROR(__xludf.DUMMYFUNCTION("""COMPUTED_VALUE"""),"7-10@174,67")</f>
        <v>7-10@174,67</v>
      </c>
      <c r="AC98" s="54" t="str">
        <f>IFERROR(__xludf.DUMMYFUNCTION("""COMPUTED_VALUE"""),"EUR")</f>
        <v>EUR</v>
      </c>
      <c r="AD98" s="54" t="str">
        <f>IFERROR(__xludf.DUMMYFUNCTION("""COMPUTED_VALUE"""),"(IE00B1FZS798)")</f>
        <v>(IE00B1FZS798)</v>
      </c>
      <c r="AE98" s="54"/>
      <c r="AF98" s="54"/>
      <c r="AG98" s="54"/>
      <c r="AH98" s="54"/>
      <c r="AI98" s="54"/>
      <c r="AJ98" s="54"/>
      <c r="AK98" s="54"/>
    </row>
    <row r="99">
      <c r="A99" s="10" t="s">
        <v>597</v>
      </c>
      <c r="B99" s="10" t="s">
        <v>668</v>
      </c>
      <c r="C99" s="10" t="s">
        <v>597</v>
      </c>
      <c r="D99" s="10" t="s">
        <v>83</v>
      </c>
      <c r="E99" s="10" t="s">
        <v>84</v>
      </c>
      <c r="F99" s="12" t="s">
        <v>222</v>
      </c>
      <c r="G99" s="10"/>
      <c r="H99" s="10" t="s">
        <v>70</v>
      </c>
      <c r="I99" s="10" t="s">
        <v>223</v>
      </c>
      <c r="J99" s="10" t="s">
        <v>70</v>
      </c>
      <c r="K99" s="10" t="s">
        <v>669</v>
      </c>
      <c r="L99" s="12" t="s">
        <v>670</v>
      </c>
      <c r="M99" s="29" t="str">
        <f t="shared" si="1"/>
        <v/>
      </c>
      <c r="N99" s="31">
        <f>IFERROR(__xludf.DUMMYFUNCTION("IF(Account!$F99&lt;&gt;"""", VALUE(REGEXREPLACE($I99, ""\,"", ""."")), """")"),-2.0)</f>
        <v>-2</v>
      </c>
      <c r="O99" s="33">
        <f>IF(Account!$F99&lt;&gt;"", DATEVALUE(MID($A99,4,3) &amp; LEFT($A99,3) &amp; RIGHT($A99,4)) + TIMEVALUE($B99), "")</f>
        <v>43579.48056</v>
      </c>
      <c r="P99" s="34">
        <f>IF(Account!$F99&lt;&gt;"", DATEVALUE(MID($C99,4,3) &amp; LEFT($C99,3) &amp; RIGHT($C99,4)), "")</f>
        <v>43579</v>
      </c>
      <c r="Q99" s="35" t="str">
        <f t="array" ref="Q99">IF($R99&lt;&gt;"",IFERROR(INDEX(Investment!$A:$A,MATCH($R99,Investment!$H:$H,0))),)</f>
        <v>Long term US bonds (20-25 year)</v>
      </c>
      <c r="R99" s="36" t="str">
        <f t="array" ref="R99">IF(AND($Y99="change",$H99="EUR"),IF(AND($AA99="Crédit",$O99=$O100),$R100,IF(AND($AA99="Débit",$O99=$O98),$R98)),IF(OR(AND(OR($E99&lt;&gt;"",$M99=""),$N99&lt;&gt;0),$A99=""),IFERROR(INDEX(Investment!$H:$H,MATCH($E99,Investment!$F:$F,0))),IFERROR(INDEX($R100:$R1119,MATCH(SUBSTITUTE($I99,"-","",1),$K100:$K1119,0)),INDEX($R100:$R1119,MATCH($K99,$K100:$K1119,0)))))</f>
        <v>iShares Treasury Bond 20+ UCITS</v>
      </c>
      <c r="S99" s="35" t="str">
        <f t="shared" si="2"/>
        <v>COST</v>
      </c>
      <c r="T99" s="37" t="str">
        <f t="shared" si="3"/>
        <v/>
      </c>
      <c r="U99" s="38" t="str">
        <f t="shared" si="4"/>
        <v/>
      </c>
      <c r="V99" s="31">
        <f t="shared" si="5"/>
        <v>-2.23</v>
      </c>
      <c r="W99" s="39" t="str">
        <f>IFERROR(__xludf.DUMMYFUNCTION(" IF(Account!$F99&lt;&gt;"""", SPLIT(Account!$F99, "" ""), """")"),"Frais")</f>
        <v>Frais</v>
      </c>
      <c r="X99" s="54" t="str">
        <f>IFERROR(__xludf.DUMMYFUNCTION("""COMPUTED_VALUE"""),"de")</f>
        <v>de</v>
      </c>
      <c r="Y99" s="54" t="str">
        <f>IFERROR(__xludf.DUMMYFUNCTION("""COMPUTED_VALUE"""),"courtage")</f>
        <v>courtage</v>
      </c>
      <c r="Z99" s="54"/>
      <c r="AA99" s="54"/>
      <c r="AB99" s="54"/>
      <c r="AC99" s="54"/>
      <c r="AD99" s="54"/>
      <c r="AE99" s="54"/>
      <c r="AF99" s="54"/>
      <c r="AG99" s="54"/>
      <c r="AH99" s="54"/>
      <c r="AI99" s="54"/>
      <c r="AJ99" s="54"/>
      <c r="AK99" s="54"/>
    </row>
    <row r="100">
      <c r="A100" s="10" t="s">
        <v>597</v>
      </c>
      <c r="B100" s="10" t="s">
        <v>668</v>
      </c>
      <c r="C100" s="10" t="s">
        <v>597</v>
      </c>
      <c r="D100" s="10" t="s">
        <v>83</v>
      </c>
      <c r="E100" s="10" t="s">
        <v>84</v>
      </c>
      <c r="F100" s="12" t="s">
        <v>222</v>
      </c>
      <c r="G100" s="10"/>
      <c r="H100" s="10" t="s">
        <v>70</v>
      </c>
      <c r="I100" s="10" t="s">
        <v>526</v>
      </c>
      <c r="J100" s="10" t="s">
        <v>70</v>
      </c>
      <c r="K100" s="10" t="s">
        <v>672</v>
      </c>
      <c r="L100" s="12" t="s">
        <v>670</v>
      </c>
      <c r="M100" s="29" t="str">
        <f t="shared" si="1"/>
        <v/>
      </c>
      <c r="N100" s="31">
        <f>IFERROR(__xludf.DUMMYFUNCTION("IF(Account!$F100&lt;&gt;"""", VALUE(REGEXREPLACE($I100, ""\,"", ""."")), """")"),-0.23)</f>
        <v>-0.23</v>
      </c>
      <c r="O100" s="33">
        <f>IF(Account!$F100&lt;&gt;"", DATEVALUE(MID($A100,4,3) &amp; LEFT($A100,3) &amp; RIGHT($A100,4)) + TIMEVALUE($B100), "")</f>
        <v>43579.48056</v>
      </c>
      <c r="P100" s="34">
        <f>IF(Account!$F100&lt;&gt;"", DATEVALUE(MID($C100,4,3) &amp; LEFT($C100,3) &amp; RIGHT($C100,4)), "")</f>
        <v>43579</v>
      </c>
      <c r="Q100" s="35" t="str">
        <f t="array" ref="Q100">IF($R100&lt;&gt;"",IFERROR(INDEX(Investment!$A:$A,MATCH($R100,Investment!$H:$H,0))),)</f>
        <v>Long term US bonds (20-25 year)</v>
      </c>
      <c r="R100" s="36" t="str">
        <f t="array" ref="R100">IF(AND($Y100="change",$H100="EUR"),IF(AND($AA100="Crédit",$O100=$O101),$R101,IF(AND($AA100="Débit",$O100=$O99),$R99)),IF(OR(AND(OR($E100&lt;&gt;"",$M100=""),$N100&lt;&gt;0),$A100=""),IFERROR(INDEX(Investment!$H:$H,MATCH($E100,Investment!$F:$F,0))),IFERROR(INDEX($R101:$R1119,MATCH(SUBSTITUTE($I100,"-","",1),$K101:$K1119,0)),INDEX($R101:$R1119,MATCH($K100,$K101:$K1119,0)))))</f>
        <v>iShares Treasury Bond 20+ UCITS</v>
      </c>
      <c r="S100" s="35" t="str">
        <f t="shared" si="2"/>
        <v>COST</v>
      </c>
      <c r="T100" s="37" t="str">
        <f t="shared" si="3"/>
        <v/>
      </c>
      <c r="U100" s="38" t="str">
        <f t="shared" si="4"/>
        <v/>
      </c>
      <c r="V100" s="31">
        <f t="shared" si="5"/>
        <v>-2.23</v>
      </c>
      <c r="W100" s="39" t="str">
        <f>IFERROR(__xludf.DUMMYFUNCTION(" IF(Account!$F100&lt;&gt;"""", SPLIT(Account!$F100, "" ""), """")"),"Frais")</f>
        <v>Frais</v>
      </c>
      <c r="X100" s="54" t="str">
        <f>IFERROR(__xludf.DUMMYFUNCTION("""COMPUTED_VALUE"""),"de")</f>
        <v>de</v>
      </c>
      <c r="Y100" s="54" t="str">
        <f>IFERROR(__xludf.DUMMYFUNCTION("""COMPUTED_VALUE"""),"courtage")</f>
        <v>courtage</v>
      </c>
      <c r="Z100" s="54"/>
      <c r="AA100" s="54"/>
      <c r="AB100" s="54"/>
      <c r="AC100" s="54"/>
      <c r="AD100" s="54"/>
      <c r="AE100" s="54"/>
      <c r="AF100" s="54"/>
      <c r="AG100" s="54"/>
      <c r="AH100" s="54"/>
      <c r="AI100" s="54"/>
      <c r="AJ100" s="54"/>
      <c r="AK100" s="54"/>
    </row>
    <row r="101">
      <c r="A101" s="10" t="s">
        <v>597</v>
      </c>
      <c r="B101" s="10" t="s">
        <v>668</v>
      </c>
      <c r="C101" s="10" t="s">
        <v>597</v>
      </c>
      <c r="D101" s="10" t="s">
        <v>83</v>
      </c>
      <c r="E101" s="10" t="s">
        <v>84</v>
      </c>
      <c r="F101" s="12" t="s">
        <v>676</v>
      </c>
      <c r="G101" s="10"/>
      <c r="H101" s="10" t="s">
        <v>70</v>
      </c>
      <c r="I101" s="10" t="s">
        <v>677</v>
      </c>
      <c r="J101" s="10" t="s">
        <v>70</v>
      </c>
      <c r="K101" s="10" t="s">
        <v>678</v>
      </c>
      <c r="L101" s="12" t="s">
        <v>679</v>
      </c>
      <c r="M101" s="29">
        <f t="shared" si="1"/>
        <v>-285</v>
      </c>
      <c r="N101" s="31">
        <f>IFERROR(__xludf.DUMMYFUNCTION("IF(Account!$F101&lt;&gt;"""", VALUE(REGEXREPLACE($I101, ""\,"", ""."")), """")"),1174.71)</f>
        <v>1174.71</v>
      </c>
      <c r="O101" s="33">
        <f>IF(Account!$F101&lt;&gt;"", DATEVALUE(MID($A101,4,3) &amp; LEFT($A101,3) &amp; RIGHT($A101,4)) + TIMEVALUE($B101), "")</f>
        <v>43579.48056</v>
      </c>
      <c r="P101" s="34">
        <f>IF(Account!$F101&lt;&gt;"", DATEVALUE(MID($C101,4,3) &amp; LEFT($C101,3) &amp; RIGHT($C101,4)), "")</f>
        <v>43579</v>
      </c>
      <c r="Q101" s="35" t="str">
        <f t="array" ref="Q101">IF($R101&lt;&gt;"",IFERROR(INDEX(Investment!$A:$A,MATCH($R101,Investment!$H:$H,0))),)</f>
        <v>Long term US bonds (20-25 year)</v>
      </c>
      <c r="R101" s="36" t="str">
        <f t="array" ref="R101">IF(AND($Y101="change",$H101="EUR"),IF(AND($AA101="Crédit",$O101=$O102),$R102,IF(AND($AA101="Débit",$O101=$O100),$R100)),IF(OR(AND(OR($E101&lt;&gt;"",$M101=""),$N101&lt;&gt;0),$A101=""),IFERROR(INDEX(Investment!$H:$H,MATCH($E101,Investment!$F:$F,0))),IFERROR(INDEX($R102:$R1119,MATCH(SUBSTITUTE($I101,"-","",1),$K102:$K1119,0)),INDEX($R102:$R1119,MATCH($K101,$K102:$K1119,0)))))</f>
        <v>iShares Treasury Bond 20+ UCITS</v>
      </c>
      <c r="S101" s="35" t="str">
        <f t="shared" si="2"/>
        <v>SELL</v>
      </c>
      <c r="T101" s="37">
        <f t="shared" si="3"/>
        <v>-285</v>
      </c>
      <c r="U101" s="38">
        <f t="shared" si="4"/>
        <v>4.121789474</v>
      </c>
      <c r="V101" s="31">
        <f t="shared" si="5"/>
        <v>1174.71</v>
      </c>
      <c r="W101" s="39" t="str">
        <f>IFERROR(__xludf.DUMMYFUNCTION(" IF(Account!$F101&lt;&gt;"""", SPLIT(Account!$F101, "" ""), """")"),"Vente")</f>
        <v>Vente</v>
      </c>
      <c r="X101" s="54">
        <f>IFERROR(__xludf.DUMMYFUNCTION("""COMPUTED_VALUE"""),285.0)</f>
        <v>285</v>
      </c>
      <c r="Y101" s="54" t="str">
        <f>IFERROR(__xludf.DUMMYFUNCTION("""COMPUTED_VALUE"""),"ISHSIV-DL")</f>
        <v>ISHSIV-DL</v>
      </c>
      <c r="Z101" s="54" t="str">
        <f>IFERROR(__xludf.DUMMYFUNCTION("""COMPUTED_VALUE"""),"T.BD20+YR")</f>
        <v>T.BD20+YR</v>
      </c>
      <c r="AA101" s="54" t="str">
        <f>IFERROR(__xludf.DUMMYFUNCTION("""COMPUTED_VALUE"""),"DL")</f>
        <v>DL</v>
      </c>
      <c r="AB101" s="54" t="str">
        <f>IFERROR(__xludf.DUMMYFUNCTION("""COMPUTED_VALUE"""),"D@4,1218")</f>
        <v>D@4,1218</v>
      </c>
      <c r="AC101" s="54" t="str">
        <f>IFERROR(__xludf.DUMMYFUNCTION("""COMPUTED_VALUE"""),"EUR")</f>
        <v>EUR</v>
      </c>
      <c r="AD101" s="54"/>
      <c r="AE101" s="54"/>
      <c r="AF101" s="54"/>
      <c r="AG101" s="54"/>
      <c r="AH101" s="54"/>
      <c r="AI101" s="54"/>
      <c r="AJ101" s="54"/>
      <c r="AK101" s="54"/>
    </row>
    <row r="102">
      <c r="A102" s="10"/>
      <c r="B102" s="10"/>
      <c r="C102" s="10"/>
      <c r="D102" s="10"/>
      <c r="E102" s="10"/>
      <c r="F102" s="12" t="s">
        <v>682</v>
      </c>
      <c r="G102" s="10"/>
      <c r="H102" s="10"/>
      <c r="I102" s="10"/>
      <c r="J102" s="10"/>
      <c r="K102" s="10"/>
      <c r="L102" s="12" t="s">
        <v>683</v>
      </c>
      <c r="M102" s="29" t="str">
        <f t="shared" si="1"/>
        <v/>
      </c>
      <c r="N102" s="31">
        <f>IFERROR(__xludf.DUMMYFUNCTION("IF(Account!$F102&lt;&gt;"""", VALUE(REGEXREPLACE($I102, ""\,"", ""."")), """")"),0.0)</f>
        <v>0</v>
      </c>
      <c r="O102" s="33" t="str">
        <f>IF(Account!$F102&lt;&gt;"", DATEVALUE(MID($A102,4,3) &amp; LEFT($A102,3) &amp; RIGHT($A102,4)) + TIMEVALUE($B102), "")</f>
        <v>#VALUE!</v>
      </c>
      <c r="P102" s="34" t="str">
        <f>IF(Account!$F102&lt;&gt;"", DATEVALUE(MID($C102,4,3) &amp; LEFT($C102,3) &amp; RIGHT($C102,4)), "")</f>
        <v>#VALUE!</v>
      </c>
      <c r="Q102" s="35" t="str">
        <f t="array" ref="Q102">IF($R102&lt;&gt;"",IFERROR(INDEX(Investment!$A:$A,MATCH($R102,Investment!$H:$H,0))),)</f>
        <v/>
      </c>
      <c r="R102" s="36" t="str">
        <f t="array" ref="R102">IF(AND($Y102="change",$H102="EUR"),IF(AND($AA102="Crédit",$O102=$O103),$R103,IF(AND($AA102="Débit",$O102=$O101),$R101)),IF(OR(AND(OR($E102&lt;&gt;"",$M102=""),$N102&lt;&gt;0),$A102=""),IFERROR(INDEX(Investment!$H:$H,MATCH($E102,Investment!$F:$F,0))),IFERROR(INDEX($R103:$R1119,MATCH(SUBSTITUTE($I102,"-","",1),$K103:$K1119,0)),INDEX($R103:$R1119,MATCH($K102,$K103:$K1119,0)))))</f>
        <v/>
      </c>
      <c r="S102" s="35" t="str">
        <f t="shared" si="2"/>
        <v>#VALUE!</v>
      </c>
      <c r="T102" s="37" t="str">
        <f t="shared" si="3"/>
        <v/>
      </c>
      <c r="U102" s="38" t="str">
        <f t="shared" si="4"/>
        <v/>
      </c>
      <c r="V102" s="31">
        <f t="shared" si="5"/>
        <v>0</v>
      </c>
      <c r="W102" s="39" t="str">
        <f>IFERROR(__xludf.DUMMYFUNCTION(" IF(Account!$F102&lt;&gt;"""", SPLIT(Account!$F102, "" ""), """")"),"(IE00BSKRJZ44)")</f>
        <v>(IE00BSKRJZ44)</v>
      </c>
      <c r="X102" s="54"/>
      <c r="Y102" s="54"/>
      <c r="Z102" s="54"/>
      <c r="AA102" s="54"/>
      <c r="AB102" s="54"/>
      <c r="AC102" s="54"/>
      <c r="AD102" s="54"/>
      <c r="AE102" s="54"/>
      <c r="AF102" s="54"/>
      <c r="AG102" s="54"/>
      <c r="AH102" s="54"/>
      <c r="AI102" s="54"/>
      <c r="AJ102" s="54"/>
      <c r="AK102" s="54"/>
    </row>
    <row r="103">
      <c r="A103" s="10" t="s">
        <v>597</v>
      </c>
      <c r="B103" s="10" t="s">
        <v>353</v>
      </c>
      <c r="C103" s="10" t="s">
        <v>597</v>
      </c>
      <c r="D103" s="10" t="s">
        <v>140</v>
      </c>
      <c r="E103" s="10" t="s">
        <v>141</v>
      </c>
      <c r="F103" s="12" t="s">
        <v>685</v>
      </c>
      <c r="G103" s="10"/>
      <c r="H103" s="10" t="s">
        <v>70</v>
      </c>
      <c r="I103" s="10" t="s">
        <v>686</v>
      </c>
      <c r="J103" s="10" t="s">
        <v>70</v>
      </c>
      <c r="K103" s="10" t="s">
        <v>687</v>
      </c>
      <c r="L103" s="12" t="s">
        <v>688</v>
      </c>
      <c r="M103" s="29">
        <f t="shared" si="1"/>
        <v>-25</v>
      </c>
      <c r="N103" s="31">
        <f>IFERROR(__xludf.DUMMYFUNCTION("IF(Account!$F103&lt;&gt;"""", VALUE(REGEXREPLACE($I103, ""\,"", ""."")), """")"),1240.5)</f>
        <v>1240.5</v>
      </c>
      <c r="O103" s="33">
        <f>IF(Account!$F103&lt;&gt;"", DATEVALUE(MID($A103,4,3) &amp; LEFT($A103,3) &amp; RIGHT($A103,4)) + TIMEVALUE($B103), "")</f>
        <v>43579.45972</v>
      </c>
      <c r="P103" s="34">
        <f>IF(Account!$F103&lt;&gt;"", DATEVALUE(MID($C103,4,3) &amp; LEFT($C103,3) &amp; RIGHT($C103,4)), "")</f>
        <v>43579</v>
      </c>
      <c r="Q103" s="35" t="str">
        <f t="array" ref="Q103">IF($R103&lt;&gt;"",IFERROR(INDEX(Investment!$A:$A,MATCH($R103,Investment!$H:$H,0))),)</f>
        <v>Stocks</v>
      </c>
      <c r="R103" s="36" t="str">
        <f t="array" ref="R103">IF(AND($Y103="change",$H103="EUR"),IF(AND($AA103="Crédit",$O103=$O104),$R104,IF(AND($AA103="Débit",$O103=$O102),$R102)),IF(OR(AND(OR($E103&lt;&gt;"",$M103=""),$N103&lt;&gt;0),$A103=""),IFERROR(INDEX(Investment!$H:$H,MATCH($E103,Investment!$F:$F,0))),IFERROR(INDEX($R104:$R1119,MATCH(SUBSTITUTE($I103,"-","",1),$K104:$K1119,0)),INDEX($R104:$R1119,MATCH($K103,$K104:$K1119,0)))))</f>
        <v>Vanguard S&amp;P 500 UCITS</v>
      </c>
      <c r="S103" s="35" t="str">
        <f t="shared" si="2"/>
        <v>SELL</v>
      </c>
      <c r="T103" s="37">
        <f t="shared" si="3"/>
        <v>-25</v>
      </c>
      <c r="U103" s="38">
        <f t="shared" si="4"/>
        <v>49.62</v>
      </c>
      <c r="V103" s="31">
        <f t="shared" si="5"/>
        <v>1240.5</v>
      </c>
      <c r="W103" s="39" t="str">
        <f>IFERROR(__xludf.DUMMYFUNCTION(" IF(Account!$F103&lt;&gt;"""", SPLIT(Account!$F103, "" ""), """")"),"Vente")</f>
        <v>Vente</v>
      </c>
      <c r="X103" s="54">
        <f>IFERROR(__xludf.DUMMYFUNCTION("""COMPUTED_VALUE"""),25.0)</f>
        <v>25</v>
      </c>
      <c r="Y103" s="54" t="str">
        <f>IFERROR(__xludf.DUMMYFUNCTION("""COMPUTED_VALUE"""),"VANGUARD")</f>
        <v>VANGUARD</v>
      </c>
      <c r="Z103" s="54" t="str">
        <f>IFERROR(__xludf.DUMMYFUNCTION("""COMPUTED_VALUE"""),"S&amp;P500@49,62")</f>
        <v>S&amp;P500@49,62</v>
      </c>
      <c r="AA103" s="54" t="str">
        <f>IFERROR(__xludf.DUMMYFUNCTION("""COMPUTED_VALUE"""),"EUR")</f>
        <v>EUR</v>
      </c>
      <c r="AB103" s="54" t="str">
        <f>IFERROR(__xludf.DUMMYFUNCTION("""COMPUTED_VALUE"""),"(IE00B3XXRP09)")</f>
        <v>(IE00B3XXRP09)</v>
      </c>
      <c r="AC103" s="54"/>
      <c r="AD103" s="54"/>
      <c r="AE103" s="54"/>
      <c r="AF103" s="54"/>
      <c r="AG103" s="54"/>
      <c r="AH103" s="54"/>
      <c r="AI103" s="54"/>
      <c r="AJ103" s="54"/>
      <c r="AK103" s="54"/>
    </row>
    <row r="104">
      <c r="A104" s="10" t="s">
        <v>691</v>
      </c>
      <c r="B104" s="10" t="s">
        <v>692</v>
      </c>
      <c r="C104" s="10" t="s">
        <v>691</v>
      </c>
      <c r="D104" s="10" t="s">
        <v>140</v>
      </c>
      <c r="E104" s="10" t="s">
        <v>141</v>
      </c>
      <c r="F104" s="12" t="s">
        <v>693</v>
      </c>
      <c r="G104" s="10"/>
      <c r="H104" s="10" t="s">
        <v>70</v>
      </c>
      <c r="I104" s="10" t="s">
        <v>694</v>
      </c>
      <c r="J104" s="10" t="s">
        <v>70</v>
      </c>
      <c r="K104" s="10" t="s">
        <v>695</v>
      </c>
      <c r="L104" s="12" t="s">
        <v>696</v>
      </c>
      <c r="M104" s="29">
        <f t="shared" si="1"/>
        <v>-25</v>
      </c>
      <c r="N104" s="31">
        <f>IFERROR(__xludf.DUMMYFUNCTION("IF(Account!$F104&lt;&gt;"""", VALUE(REGEXREPLACE($I104, ""\,"", ""."")), """")"),1230.12)</f>
        <v>1230.12</v>
      </c>
      <c r="O104" s="33">
        <f>IF(Account!$F104&lt;&gt;"", DATEVALUE(MID($A104,4,3) &amp; LEFT($A104,3) &amp; RIGHT($A104,4)) + TIMEVALUE($B104), "")</f>
        <v>43578.61528</v>
      </c>
      <c r="P104" s="34">
        <f>IF(Account!$F104&lt;&gt;"", DATEVALUE(MID($C104,4,3) &amp; LEFT($C104,3) &amp; RIGHT($C104,4)), "")</f>
        <v>43578</v>
      </c>
      <c r="Q104" s="35" t="str">
        <f t="array" ref="Q104">IF($R104&lt;&gt;"",IFERROR(INDEX(Investment!$A:$A,MATCH($R104,Investment!$H:$H,0))),)</f>
        <v>Stocks</v>
      </c>
      <c r="R104" s="36" t="str">
        <f t="array" ref="R104">IF(AND($Y104="change",$H104="EUR"),IF(AND($AA104="Crédit",$O104=$O105),$R105,IF(AND($AA104="Débit",$O104=$O103),$R103)),IF(OR(AND(OR($E104&lt;&gt;"",$M104=""),$N104&lt;&gt;0),$A104=""),IFERROR(INDEX(Investment!$H:$H,MATCH($E104,Investment!$F:$F,0))),IFERROR(INDEX($R105:$R1119,MATCH(SUBSTITUTE($I104,"-","",1),$K105:$K1119,0)),INDEX($R105:$R1119,MATCH($K104,$K105:$K1119,0)))))</f>
        <v>Vanguard S&amp;P 500 UCITS</v>
      </c>
      <c r="S104" s="35" t="str">
        <f t="shared" si="2"/>
        <v>SELL</v>
      </c>
      <c r="T104" s="37">
        <f t="shared" si="3"/>
        <v>-25</v>
      </c>
      <c r="U104" s="38">
        <f t="shared" si="4"/>
        <v>49.2048</v>
      </c>
      <c r="V104" s="31">
        <f t="shared" si="5"/>
        <v>1230.12</v>
      </c>
      <c r="W104" s="39" t="str">
        <f>IFERROR(__xludf.DUMMYFUNCTION(" IF(Account!$F104&lt;&gt;"""", SPLIT(Account!$F104, "" ""), """")"),"Vente")</f>
        <v>Vente</v>
      </c>
      <c r="X104" s="54">
        <f>IFERROR(__xludf.DUMMYFUNCTION("""COMPUTED_VALUE"""),25.0)</f>
        <v>25</v>
      </c>
      <c r="Y104" s="54" t="str">
        <f>IFERROR(__xludf.DUMMYFUNCTION("""COMPUTED_VALUE"""),"VANGUARD")</f>
        <v>VANGUARD</v>
      </c>
      <c r="Z104" s="54" t="str">
        <f>IFERROR(__xludf.DUMMYFUNCTION("""COMPUTED_VALUE"""),"S&amp;P500@49,205")</f>
        <v>S&amp;P500@49,205</v>
      </c>
      <c r="AA104" s="54" t="str">
        <f>IFERROR(__xludf.DUMMYFUNCTION("""COMPUTED_VALUE"""),"EUR")</f>
        <v>EUR</v>
      </c>
      <c r="AB104" s="54" t="str">
        <f>IFERROR(__xludf.DUMMYFUNCTION("""COMPUTED_VALUE"""),"(IE00B3XXRP09)")</f>
        <v>(IE00B3XXRP09)</v>
      </c>
      <c r="AC104" s="54"/>
      <c r="AD104" s="54"/>
      <c r="AE104" s="54"/>
      <c r="AF104" s="54"/>
      <c r="AG104" s="54"/>
      <c r="AH104" s="54"/>
      <c r="AI104" s="54"/>
      <c r="AJ104" s="54"/>
      <c r="AK104" s="54"/>
    </row>
    <row r="105">
      <c r="A105" s="10" t="s">
        <v>691</v>
      </c>
      <c r="B105" s="10" t="s">
        <v>699</v>
      </c>
      <c r="C105" s="10" t="s">
        <v>691</v>
      </c>
      <c r="D105" s="10" t="s">
        <v>107</v>
      </c>
      <c r="E105" s="10" t="s">
        <v>108</v>
      </c>
      <c r="F105" s="12" t="s">
        <v>701</v>
      </c>
      <c r="G105" s="10"/>
      <c r="H105" s="10" t="s">
        <v>70</v>
      </c>
      <c r="I105" s="10" t="s">
        <v>702</v>
      </c>
      <c r="J105" s="10" t="s">
        <v>70</v>
      </c>
      <c r="K105" s="10" t="s">
        <v>703</v>
      </c>
      <c r="L105" s="12" t="s">
        <v>704</v>
      </c>
      <c r="M105" s="29">
        <f t="shared" si="1"/>
        <v>-150</v>
      </c>
      <c r="N105" s="31">
        <f>IFERROR(__xludf.DUMMYFUNCTION("IF(Account!$F105&lt;&gt;"""", VALUE(REGEXREPLACE($I105, ""\,"", ""."")), """")"),1114.5)</f>
        <v>1114.5</v>
      </c>
      <c r="O105" s="33">
        <f>IF(Account!$F105&lt;&gt;"", DATEVALUE(MID($A105,4,3) &amp; LEFT($A105,3) &amp; RIGHT($A105,4)) + TIMEVALUE($B105), "")</f>
        <v>43578.50625</v>
      </c>
      <c r="P105" s="34">
        <f>IF(Account!$F105&lt;&gt;"", DATEVALUE(MID($C105,4,3) &amp; LEFT($C105,3) &amp; RIGHT($C105,4)), "")</f>
        <v>43578</v>
      </c>
      <c r="Q105" s="35" t="str">
        <f t="array" ref="Q105">IF($R105&lt;&gt;"",IFERROR(INDEX(Investment!$A:$A,MATCH($R105,Investment!$H:$H,0))),)</f>
        <v>Commodities</v>
      </c>
      <c r="R105" s="36" t="str">
        <f t="array" ref="R105">IF(AND($Y105="change",$H105="EUR"),IF(AND($AA105="Crédit",$O105=$O106),$R106,IF(AND($AA105="Débit",$O105=$O104),$R104)),IF(OR(AND(OR($E105&lt;&gt;"",$M105=""),$N105&lt;&gt;0),$A105=""),IFERROR(INDEX(Investment!$H:$H,MATCH($E105,Investment!$F:$F,0))),IFERROR(INDEX($R106:$R1119,MATCH(SUBSTITUTE($I105,"-","",1),$K106:$K1119,0)),INDEX($R106:$R1119,MATCH($K105,$K106:$K1119,0)))))</f>
        <v>ETFS All Commodities ETC</v>
      </c>
      <c r="S105" s="35" t="str">
        <f t="shared" si="2"/>
        <v>SELL</v>
      </c>
      <c r="T105" s="37">
        <f t="shared" si="3"/>
        <v>-150</v>
      </c>
      <c r="U105" s="38">
        <f t="shared" si="4"/>
        <v>7.43</v>
      </c>
      <c r="V105" s="31">
        <f t="shared" si="5"/>
        <v>1114.5</v>
      </c>
      <c r="W105" s="39" t="str">
        <f>IFERROR(__xludf.DUMMYFUNCTION(" IF(Account!$F105&lt;&gt;"""", SPLIT(Account!$F105, "" ""), """")"),"Vente")</f>
        <v>Vente</v>
      </c>
      <c r="X105" s="54">
        <f>IFERROR(__xludf.DUMMYFUNCTION("""COMPUTED_VALUE"""),150.0)</f>
        <v>150</v>
      </c>
      <c r="Y105" s="54" t="str">
        <f>IFERROR(__xludf.DUMMYFUNCTION("""COMPUTED_VALUE"""),"ETFS")</f>
        <v>ETFS</v>
      </c>
      <c r="Z105" s="54" t="str">
        <f>IFERROR(__xludf.DUMMYFUNCTION("""COMPUTED_VALUE"""),"ALL")</f>
        <v>ALL</v>
      </c>
      <c r="AA105" s="54" t="str">
        <f>IFERROR(__xludf.DUMMYFUNCTION("""COMPUTED_VALUE"""),"COMMODIT.@7,43")</f>
        <v>COMMODIT.@7,43</v>
      </c>
      <c r="AB105" s="54" t="str">
        <f>IFERROR(__xludf.DUMMYFUNCTION("""COMPUTED_VALUE"""),"EUR")</f>
        <v>EUR</v>
      </c>
      <c r="AC105" s="54" t="str">
        <f>IFERROR(__xludf.DUMMYFUNCTION("""COMPUTED_VALUE"""),"(GB00B15KY989)")</f>
        <v>(GB00B15KY989)</v>
      </c>
      <c r="AD105" s="54"/>
      <c r="AE105" s="54"/>
      <c r="AF105" s="54"/>
      <c r="AG105" s="54"/>
      <c r="AH105" s="54"/>
      <c r="AI105" s="54"/>
      <c r="AJ105" s="54"/>
      <c r="AK105" s="54"/>
    </row>
    <row r="106">
      <c r="A106" s="10" t="s">
        <v>707</v>
      </c>
      <c r="B106" s="10" t="s">
        <v>708</v>
      </c>
      <c r="C106" s="10" t="s">
        <v>707</v>
      </c>
      <c r="D106" s="10" t="s">
        <v>140</v>
      </c>
      <c r="E106" s="10" t="s">
        <v>141</v>
      </c>
      <c r="F106" s="12" t="s">
        <v>709</v>
      </c>
      <c r="G106" s="10"/>
      <c r="H106" s="10" t="s">
        <v>70</v>
      </c>
      <c r="I106" s="10" t="s">
        <v>710</v>
      </c>
      <c r="J106" s="10" t="s">
        <v>70</v>
      </c>
      <c r="K106" s="10" t="s">
        <v>711</v>
      </c>
      <c r="L106" s="12" t="s">
        <v>712</v>
      </c>
      <c r="M106" s="29">
        <f t="shared" si="1"/>
        <v>-25</v>
      </c>
      <c r="N106" s="31">
        <f>IFERROR(__xludf.DUMMYFUNCTION("IF(Account!$F106&lt;&gt;"""", VALUE(REGEXREPLACE($I106, ""\,"", ""."")), """")"),1225.75)</f>
        <v>1225.75</v>
      </c>
      <c r="O106" s="33">
        <f>IF(Account!$F106&lt;&gt;"", DATEVALUE(MID($A106,4,3) &amp; LEFT($A106,3) &amp; RIGHT($A106,4)) + TIMEVALUE($B106), "")</f>
        <v>43573.6375</v>
      </c>
      <c r="P106" s="34">
        <f>IF(Account!$F106&lt;&gt;"", DATEVALUE(MID($C106,4,3) &amp; LEFT($C106,3) &amp; RIGHT($C106,4)), "")</f>
        <v>43573</v>
      </c>
      <c r="Q106" s="35" t="str">
        <f t="array" ref="Q106">IF($R106&lt;&gt;"",IFERROR(INDEX(Investment!$A:$A,MATCH($R106,Investment!$H:$H,0))),)</f>
        <v>Stocks</v>
      </c>
      <c r="R106" s="36" t="str">
        <f t="array" ref="R106">IF(AND($Y106="change",$H106="EUR"),IF(AND($AA106="Crédit",$O106=$O107),$R107,IF(AND($AA106="Débit",$O106=$O105),$R105)),IF(OR(AND(OR($E106&lt;&gt;"",$M106=""),$N106&lt;&gt;0),$A106=""),IFERROR(INDEX(Investment!$H:$H,MATCH($E106,Investment!$F:$F,0))),IFERROR(INDEX($R107:$R1119,MATCH(SUBSTITUTE($I106,"-","",1),$K107:$K1119,0)),INDEX($R107:$R1119,MATCH($K106,$K107:$K1119,0)))))</f>
        <v>Vanguard S&amp;P 500 UCITS</v>
      </c>
      <c r="S106" s="35" t="str">
        <f t="shared" si="2"/>
        <v>SELL</v>
      </c>
      <c r="T106" s="37">
        <f t="shared" si="3"/>
        <v>-25</v>
      </c>
      <c r="U106" s="38">
        <f t="shared" si="4"/>
        <v>49.03</v>
      </c>
      <c r="V106" s="31">
        <f t="shared" si="5"/>
        <v>1225.75</v>
      </c>
      <c r="W106" s="39" t="str">
        <f>IFERROR(__xludf.DUMMYFUNCTION(" IF(Account!$F106&lt;&gt;"""", SPLIT(Account!$F106, "" ""), """")"),"Vente")</f>
        <v>Vente</v>
      </c>
      <c r="X106" s="54">
        <f>IFERROR(__xludf.DUMMYFUNCTION("""COMPUTED_VALUE"""),25.0)</f>
        <v>25</v>
      </c>
      <c r="Y106" s="54" t="str">
        <f>IFERROR(__xludf.DUMMYFUNCTION("""COMPUTED_VALUE"""),"VANGUARD")</f>
        <v>VANGUARD</v>
      </c>
      <c r="Z106" s="54" t="str">
        <f>IFERROR(__xludf.DUMMYFUNCTION("""COMPUTED_VALUE"""),"S&amp;P500@49,03")</f>
        <v>S&amp;P500@49,03</v>
      </c>
      <c r="AA106" s="54" t="str">
        <f>IFERROR(__xludf.DUMMYFUNCTION("""COMPUTED_VALUE"""),"EUR")</f>
        <v>EUR</v>
      </c>
      <c r="AB106" s="54" t="str">
        <f>IFERROR(__xludf.DUMMYFUNCTION("""COMPUTED_VALUE"""),"(IE00B3XXRP09)")</f>
        <v>(IE00B3XXRP09)</v>
      </c>
      <c r="AC106" s="54"/>
      <c r="AD106" s="54"/>
      <c r="AE106" s="54"/>
      <c r="AF106" s="54"/>
      <c r="AG106" s="54"/>
      <c r="AH106" s="54"/>
      <c r="AI106" s="54"/>
      <c r="AJ106" s="54"/>
      <c r="AK106" s="54"/>
    </row>
    <row r="107">
      <c r="A107" s="10" t="s">
        <v>707</v>
      </c>
      <c r="B107" s="10" t="s">
        <v>717</v>
      </c>
      <c r="C107" s="10" t="s">
        <v>707</v>
      </c>
      <c r="D107" s="10" t="s">
        <v>83</v>
      </c>
      <c r="E107" s="10" t="s">
        <v>84</v>
      </c>
      <c r="F107" s="12" t="s">
        <v>222</v>
      </c>
      <c r="G107" s="10"/>
      <c r="H107" s="10" t="s">
        <v>70</v>
      </c>
      <c r="I107" s="10" t="s">
        <v>223</v>
      </c>
      <c r="J107" s="10" t="s">
        <v>70</v>
      </c>
      <c r="K107" s="10" t="s">
        <v>718</v>
      </c>
      <c r="L107" s="12" t="s">
        <v>719</v>
      </c>
      <c r="M107" s="29" t="str">
        <f t="shared" si="1"/>
        <v/>
      </c>
      <c r="N107" s="31">
        <f>IFERROR(__xludf.DUMMYFUNCTION("IF(Account!$F107&lt;&gt;"""", VALUE(REGEXREPLACE($I107, ""\,"", ""."")), """")"),-2.0)</f>
        <v>-2</v>
      </c>
      <c r="O107" s="33">
        <f>IF(Account!$F107&lt;&gt;"", DATEVALUE(MID($A107,4,3) &amp; LEFT($A107,3) &amp; RIGHT($A107,4)) + TIMEVALUE($B107), "")</f>
        <v>43573.41667</v>
      </c>
      <c r="P107" s="34">
        <f>IF(Account!$F107&lt;&gt;"", DATEVALUE(MID($C107,4,3) &amp; LEFT($C107,3) &amp; RIGHT($C107,4)), "")</f>
        <v>43573</v>
      </c>
      <c r="Q107" s="35" t="str">
        <f t="array" ref="Q107">IF($R107&lt;&gt;"",IFERROR(INDEX(Investment!$A:$A,MATCH($R107,Investment!$H:$H,0))),)</f>
        <v>Long term US bonds (20-25 year)</v>
      </c>
      <c r="R107" s="36" t="str">
        <f t="array" ref="R107">IF(AND($Y107="change",$H107="EUR"),IF(AND($AA107="Crédit",$O107=$O108),$R108,IF(AND($AA107="Débit",$O107=$O106),$R106)),IF(OR(AND(OR($E107&lt;&gt;"",$M107=""),$N107&lt;&gt;0),$A107=""),IFERROR(INDEX(Investment!$H:$H,MATCH($E107,Investment!$F:$F,0))),IFERROR(INDEX($R108:$R1119,MATCH(SUBSTITUTE($I107,"-","",1),$K108:$K1119,0)),INDEX($R108:$R1119,MATCH($K107,$K108:$K1119,0)))))</f>
        <v>iShares Treasury Bond 20+ UCITS</v>
      </c>
      <c r="S107" s="35" t="str">
        <f t="shared" si="2"/>
        <v>COST</v>
      </c>
      <c r="T107" s="37" t="str">
        <f t="shared" si="3"/>
        <v/>
      </c>
      <c r="U107" s="38" t="str">
        <f t="shared" si="4"/>
        <v/>
      </c>
      <c r="V107" s="31">
        <f t="shared" si="5"/>
        <v>-2.72</v>
      </c>
      <c r="W107" s="39" t="str">
        <f>IFERROR(__xludf.DUMMYFUNCTION(" IF(Account!$F107&lt;&gt;"""", SPLIT(Account!$F107, "" ""), """")"),"Frais")</f>
        <v>Frais</v>
      </c>
      <c r="X107" s="54" t="str">
        <f>IFERROR(__xludf.DUMMYFUNCTION("""COMPUTED_VALUE"""),"de")</f>
        <v>de</v>
      </c>
      <c r="Y107" s="54" t="str">
        <f>IFERROR(__xludf.DUMMYFUNCTION("""COMPUTED_VALUE"""),"courtage")</f>
        <v>courtage</v>
      </c>
      <c r="Z107" s="54"/>
      <c r="AA107" s="54"/>
      <c r="AB107" s="54"/>
      <c r="AC107" s="54"/>
      <c r="AD107" s="54"/>
      <c r="AE107" s="54"/>
      <c r="AF107" s="54"/>
      <c r="AG107" s="54"/>
      <c r="AH107" s="54"/>
      <c r="AI107" s="54"/>
      <c r="AJ107" s="54"/>
      <c r="AK107" s="54"/>
    </row>
    <row r="108">
      <c r="A108" s="10" t="s">
        <v>707</v>
      </c>
      <c r="B108" s="10" t="s">
        <v>717</v>
      </c>
      <c r="C108" s="10" t="s">
        <v>707</v>
      </c>
      <c r="D108" s="10" t="s">
        <v>83</v>
      </c>
      <c r="E108" s="10" t="s">
        <v>84</v>
      </c>
      <c r="F108" s="12" t="s">
        <v>222</v>
      </c>
      <c r="G108" s="10"/>
      <c r="H108" s="10" t="s">
        <v>70</v>
      </c>
      <c r="I108" s="10" t="s">
        <v>750</v>
      </c>
      <c r="J108" s="10" t="s">
        <v>70</v>
      </c>
      <c r="K108" s="10" t="s">
        <v>751</v>
      </c>
      <c r="L108" s="12" t="s">
        <v>719</v>
      </c>
      <c r="M108" s="29" t="str">
        <f t="shared" si="1"/>
        <v/>
      </c>
      <c r="N108" s="31">
        <f>IFERROR(__xludf.DUMMYFUNCTION("IF(Account!$F108&lt;&gt;"""", VALUE(REGEXREPLACE($I108, ""\,"", ""."")), """")"),-0.72)</f>
        <v>-0.72</v>
      </c>
      <c r="O108" s="33">
        <f>IF(Account!$F108&lt;&gt;"", DATEVALUE(MID($A108,4,3) &amp; LEFT($A108,3) &amp; RIGHT($A108,4)) + TIMEVALUE($B108), "")</f>
        <v>43573.41667</v>
      </c>
      <c r="P108" s="34">
        <f>IF(Account!$F108&lt;&gt;"", DATEVALUE(MID($C108,4,3) &amp; LEFT($C108,3) &amp; RIGHT($C108,4)), "")</f>
        <v>43573</v>
      </c>
      <c r="Q108" s="35" t="str">
        <f t="array" ref="Q108">IF($R108&lt;&gt;"",IFERROR(INDEX(Investment!$A:$A,MATCH($R108,Investment!$H:$H,0))),)</f>
        <v>Long term US bonds (20-25 year)</v>
      </c>
      <c r="R108" s="36" t="str">
        <f t="array" ref="R108">IF(AND($Y108="change",$H108="EUR"),IF(AND($AA108="Crédit",$O108=$O109),$R109,IF(AND($AA108="Débit",$O108=$O107),$R107)),IF(OR(AND(OR($E108&lt;&gt;"",$M108=""),$N108&lt;&gt;0),$A108=""),IFERROR(INDEX(Investment!$H:$H,MATCH($E108,Investment!$F:$F,0))),IFERROR(INDEX($R109:$R1119,MATCH(SUBSTITUTE($I108,"-","",1),$K109:$K1119,0)),INDEX($R109:$R1119,MATCH($K108,$K109:$K1119,0)))))</f>
        <v>iShares Treasury Bond 20+ UCITS</v>
      </c>
      <c r="S108" s="35" t="str">
        <f t="shared" si="2"/>
        <v>COST</v>
      </c>
      <c r="T108" s="37" t="str">
        <f t="shared" si="3"/>
        <v/>
      </c>
      <c r="U108" s="38" t="str">
        <f t="shared" si="4"/>
        <v/>
      </c>
      <c r="V108" s="31">
        <f t="shared" si="5"/>
        <v>-2.72</v>
      </c>
      <c r="W108" s="39" t="str">
        <f>IFERROR(__xludf.DUMMYFUNCTION(" IF(Account!$F108&lt;&gt;"""", SPLIT(Account!$F108, "" ""), """")"),"Frais")</f>
        <v>Frais</v>
      </c>
      <c r="X108" s="54" t="str">
        <f>IFERROR(__xludf.DUMMYFUNCTION("""COMPUTED_VALUE"""),"de")</f>
        <v>de</v>
      </c>
      <c r="Y108" s="54" t="str">
        <f>IFERROR(__xludf.DUMMYFUNCTION("""COMPUTED_VALUE"""),"courtage")</f>
        <v>courtage</v>
      </c>
      <c r="Z108" s="54"/>
      <c r="AA108" s="54"/>
      <c r="AB108" s="54"/>
      <c r="AC108" s="54"/>
      <c r="AD108" s="54"/>
      <c r="AE108" s="54"/>
      <c r="AF108" s="54"/>
      <c r="AG108" s="54"/>
      <c r="AH108" s="54"/>
      <c r="AI108" s="54"/>
      <c r="AJ108" s="54"/>
      <c r="AK108" s="54"/>
    </row>
    <row r="109">
      <c r="A109" s="10" t="s">
        <v>707</v>
      </c>
      <c r="B109" s="10" t="s">
        <v>717</v>
      </c>
      <c r="C109" s="10" t="s">
        <v>707</v>
      </c>
      <c r="D109" s="10" t="s">
        <v>83</v>
      </c>
      <c r="E109" s="10" t="s">
        <v>84</v>
      </c>
      <c r="F109" s="12" t="s">
        <v>786</v>
      </c>
      <c r="G109" s="10"/>
      <c r="H109" s="10" t="s">
        <v>70</v>
      </c>
      <c r="I109" s="10" t="s">
        <v>787</v>
      </c>
      <c r="J109" s="10" t="s">
        <v>70</v>
      </c>
      <c r="K109" s="10" t="s">
        <v>788</v>
      </c>
      <c r="L109" s="12" t="s">
        <v>719</v>
      </c>
      <c r="M109" s="29">
        <f t="shared" si="1"/>
        <v>-879</v>
      </c>
      <c r="N109" s="31">
        <f>IFERROR(__xludf.DUMMYFUNCTION("IF(Account!$F109&lt;&gt;"""", VALUE(REGEXREPLACE($I109, ""\,"", ""."")), """")"),3603.2)</f>
        <v>3603.2</v>
      </c>
      <c r="O109" s="33">
        <f>IF(Account!$F109&lt;&gt;"", DATEVALUE(MID($A109,4,3) &amp; LEFT($A109,3) &amp; RIGHT($A109,4)) + TIMEVALUE($B109), "")</f>
        <v>43573.41667</v>
      </c>
      <c r="P109" s="34">
        <f>IF(Account!$F109&lt;&gt;"", DATEVALUE(MID($C109,4,3) &amp; LEFT($C109,3) &amp; RIGHT($C109,4)), "")</f>
        <v>43573</v>
      </c>
      <c r="Q109" s="35" t="str">
        <f t="array" ref="Q109">IF($R109&lt;&gt;"",IFERROR(INDEX(Investment!$A:$A,MATCH($R109,Investment!$H:$H,0))),)</f>
        <v>Long term US bonds (20-25 year)</v>
      </c>
      <c r="R109" s="36" t="str">
        <f t="array" ref="R109">IF(AND($Y109="change",$H109="EUR"),IF(AND($AA109="Crédit",$O109=$O110),$R110,IF(AND($AA109="Débit",$O109=$O108),$R108)),IF(OR(AND(OR($E109&lt;&gt;"",$M109=""),$N109&lt;&gt;0),$A109=""),IFERROR(INDEX(Investment!$H:$H,MATCH($E109,Investment!$F:$F,0))),IFERROR(INDEX($R110:$R1119,MATCH(SUBSTITUTE($I109,"-","",1),$K110:$K1119,0)),INDEX($R110:$R1119,MATCH($K109,$K110:$K1119,0)))))</f>
        <v>iShares Treasury Bond 20+ UCITS</v>
      </c>
      <c r="S109" s="35" t="str">
        <f t="shared" si="2"/>
        <v>SELL</v>
      </c>
      <c r="T109" s="37">
        <f t="shared" si="3"/>
        <v>-879</v>
      </c>
      <c r="U109" s="38">
        <f t="shared" si="4"/>
        <v>4.099203641</v>
      </c>
      <c r="V109" s="31">
        <f t="shared" si="5"/>
        <v>3603.2</v>
      </c>
      <c r="W109" s="39" t="str">
        <f>IFERROR(__xludf.DUMMYFUNCTION(" IF(Account!$F109&lt;&gt;"""", SPLIT(Account!$F109, "" ""), """")"),"Vente")</f>
        <v>Vente</v>
      </c>
      <c r="X109" s="54">
        <f>IFERROR(__xludf.DUMMYFUNCTION("""COMPUTED_VALUE"""),879.0)</f>
        <v>879</v>
      </c>
      <c r="Y109" s="54" t="str">
        <f>IFERROR(__xludf.DUMMYFUNCTION("""COMPUTED_VALUE"""),"ISHSIV-DL")</f>
        <v>ISHSIV-DL</v>
      </c>
      <c r="Z109" s="54" t="str">
        <f>IFERROR(__xludf.DUMMYFUNCTION("""COMPUTED_VALUE"""),"T.BD20+YR")</f>
        <v>T.BD20+YR</v>
      </c>
      <c r="AA109" s="54" t="str">
        <f>IFERROR(__xludf.DUMMYFUNCTION("""COMPUTED_VALUE"""),"DL")</f>
        <v>DL</v>
      </c>
      <c r="AB109" s="54" t="str">
        <f>IFERROR(__xludf.DUMMYFUNCTION("""COMPUTED_VALUE"""),"D@4,0992")</f>
        <v>D@4,0992</v>
      </c>
      <c r="AC109" s="54" t="str">
        <f>IFERROR(__xludf.DUMMYFUNCTION("""COMPUTED_VALUE"""),"EUR")</f>
        <v>EUR</v>
      </c>
      <c r="AD109" s="54" t="str">
        <f>IFERROR(__xludf.DUMMYFUNCTION("""COMPUTED_VALUE"""),"(IE00BSKRJZ44)")</f>
        <v>(IE00BSKRJZ44)</v>
      </c>
      <c r="AE109" s="54"/>
      <c r="AF109" s="54"/>
      <c r="AG109" s="54"/>
      <c r="AH109" s="54"/>
      <c r="AI109" s="54"/>
      <c r="AJ109" s="54"/>
      <c r="AK109" s="54"/>
    </row>
    <row r="110">
      <c r="A110" s="10" t="s">
        <v>819</v>
      </c>
      <c r="B110" s="10" t="s">
        <v>820</v>
      </c>
      <c r="C110" s="10" t="s">
        <v>819</v>
      </c>
      <c r="D110" s="10" t="s">
        <v>140</v>
      </c>
      <c r="E110" s="10" t="s">
        <v>141</v>
      </c>
      <c r="F110" s="12" t="s">
        <v>821</v>
      </c>
      <c r="G110" s="10"/>
      <c r="H110" s="10" t="s">
        <v>70</v>
      </c>
      <c r="I110" s="10" t="s">
        <v>822</v>
      </c>
      <c r="J110" s="10" t="s">
        <v>70</v>
      </c>
      <c r="K110" s="10" t="s">
        <v>823</v>
      </c>
      <c r="L110" s="12" t="s">
        <v>824</v>
      </c>
      <c r="M110" s="29">
        <f t="shared" si="1"/>
        <v>-25</v>
      </c>
      <c r="N110" s="31">
        <f>IFERROR(__xludf.DUMMYFUNCTION("IF(Account!$F110&lt;&gt;"""", VALUE(REGEXREPLACE($I110, ""\,"", ""."")), """")"),1224.75)</f>
        <v>1224.75</v>
      </c>
      <c r="O110" s="33">
        <f>IF(Account!$F110&lt;&gt;"", DATEVALUE(MID($A110,4,3) &amp; LEFT($A110,3) &amp; RIGHT($A110,4)) + TIMEVALUE($B110), "")</f>
        <v>43571.47708</v>
      </c>
      <c r="P110" s="34">
        <f>IF(Account!$F110&lt;&gt;"", DATEVALUE(MID($C110,4,3) &amp; LEFT($C110,3) &amp; RIGHT($C110,4)), "")</f>
        <v>43571</v>
      </c>
      <c r="Q110" s="35" t="str">
        <f t="array" ref="Q110">IF($R110&lt;&gt;"",IFERROR(INDEX(Investment!$A:$A,MATCH($R110,Investment!$H:$H,0))),)</f>
        <v>Stocks</v>
      </c>
      <c r="R110" s="36" t="str">
        <f t="array" ref="R110">IF(AND($Y110="change",$H110="EUR"),IF(AND($AA110="Crédit",$O110=$O111),$R111,IF(AND($AA110="Débit",$O110=$O109),$R109)),IF(OR(AND(OR($E110&lt;&gt;"",$M110=""),$N110&lt;&gt;0),$A110=""),IFERROR(INDEX(Investment!$H:$H,MATCH($E110,Investment!$F:$F,0))),IFERROR(INDEX($R111:$R1119,MATCH(SUBSTITUTE($I110,"-","",1),$K111:$K1119,0)),INDEX($R111:$R1119,MATCH($K110,$K111:$K1119,0)))))</f>
        <v>Vanguard S&amp;P 500 UCITS</v>
      </c>
      <c r="S110" s="35" t="str">
        <f t="shared" si="2"/>
        <v>SELL</v>
      </c>
      <c r="T110" s="37">
        <f t="shared" si="3"/>
        <v>-25</v>
      </c>
      <c r="U110" s="38">
        <f t="shared" si="4"/>
        <v>48.99</v>
      </c>
      <c r="V110" s="31">
        <f t="shared" si="5"/>
        <v>1224.75</v>
      </c>
      <c r="W110" s="39" t="str">
        <f>IFERROR(__xludf.DUMMYFUNCTION(" IF(Account!$F110&lt;&gt;"""", SPLIT(Account!$F110, "" ""), """")"),"Vente")</f>
        <v>Vente</v>
      </c>
      <c r="X110" s="54">
        <f>IFERROR(__xludf.DUMMYFUNCTION("""COMPUTED_VALUE"""),25.0)</f>
        <v>25</v>
      </c>
      <c r="Y110" s="54" t="str">
        <f>IFERROR(__xludf.DUMMYFUNCTION("""COMPUTED_VALUE"""),"VANGUARD")</f>
        <v>VANGUARD</v>
      </c>
      <c r="Z110" s="54" t="str">
        <f>IFERROR(__xludf.DUMMYFUNCTION("""COMPUTED_VALUE"""),"S&amp;P500@48,99")</f>
        <v>S&amp;P500@48,99</v>
      </c>
      <c r="AA110" s="54" t="str">
        <f>IFERROR(__xludf.DUMMYFUNCTION("""COMPUTED_VALUE"""),"EUR")</f>
        <v>EUR</v>
      </c>
      <c r="AB110" s="54" t="str">
        <f>IFERROR(__xludf.DUMMYFUNCTION("""COMPUTED_VALUE"""),"(IE00B3XXRP09)")</f>
        <v>(IE00B3XXRP09)</v>
      </c>
      <c r="AC110" s="54"/>
      <c r="AD110" s="54"/>
      <c r="AE110" s="54"/>
      <c r="AF110" s="54"/>
      <c r="AG110" s="54"/>
      <c r="AH110" s="54"/>
      <c r="AI110" s="54"/>
      <c r="AJ110" s="54"/>
      <c r="AK110" s="54"/>
    </row>
    <row r="111">
      <c r="A111" s="10" t="s">
        <v>850</v>
      </c>
      <c r="B111" s="10" t="s">
        <v>851</v>
      </c>
      <c r="C111" s="10" t="s">
        <v>850</v>
      </c>
      <c r="D111" s="10" t="s">
        <v>140</v>
      </c>
      <c r="E111" s="10" t="s">
        <v>141</v>
      </c>
      <c r="F111" s="12" t="s">
        <v>852</v>
      </c>
      <c r="G111" s="10"/>
      <c r="H111" s="10" t="s">
        <v>70</v>
      </c>
      <c r="I111" s="10" t="s">
        <v>853</v>
      </c>
      <c r="J111" s="10" t="s">
        <v>70</v>
      </c>
      <c r="K111" s="10" t="s">
        <v>854</v>
      </c>
      <c r="L111" s="12" t="s">
        <v>855</v>
      </c>
      <c r="M111" s="29">
        <f t="shared" si="1"/>
        <v>-25</v>
      </c>
      <c r="N111" s="31">
        <f>IFERROR(__xludf.DUMMYFUNCTION("IF(Account!$F111&lt;&gt;"""", VALUE(REGEXREPLACE($I111, ""\,"", ""."")), """")"),1219.88)</f>
        <v>1219.88</v>
      </c>
      <c r="O111" s="33">
        <f>IF(Account!$F111&lt;&gt;"", DATEVALUE(MID($A111,4,3) &amp; LEFT($A111,3) &amp; RIGHT($A111,4)) + TIMEVALUE($B111), "")</f>
        <v>43570.55903</v>
      </c>
      <c r="P111" s="34">
        <f>IF(Account!$F111&lt;&gt;"", DATEVALUE(MID($C111,4,3) &amp; LEFT($C111,3) &amp; RIGHT($C111,4)), "")</f>
        <v>43570</v>
      </c>
      <c r="Q111" s="35" t="str">
        <f t="array" ref="Q111">IF($R111&lt;&gt;"",IFERROR(INDEX(Investment!$A:$A,MATCH($R111,Investment!$H:$H,0))),)</f>
        <v>Stocks</v>
      </c>
      <c r="R111" s="36" t="str">
        <f t="array" ref="R111">IF(AND($Y111="change",$H111="EUR"),IF(AND($AA111="Crédit",$O111=$O112),$R112,IF(AND($AA111="Débit",$O111=$O110),$R110)),IF(OR(AND(OR($E111&lt;&gt;"",$M111=""),$N111&lt;&gt;0),$A111=""),IFERROR(INDEX(Investment!$H:$H,MATCH($E111,Investment!$F:$F,0))),IFERROR(INDEX($R112:$R1119,MATCH(SUBSTITUTE($I111,"-","",1),$K112:$K1119,0)),INDEX($R112:$R1119,MATCH($K111,$K112:$K1119,0)))))</f>
        <v>Vanguard S&amp;P 500 UCITS</v>
      </c>
      <c r="S111" s="35" t="str">
        <f t="shared" si="2"/>
        <v>SELL</v>
      </c>
      <c r="T111" s="37">
        <f t="shared" si="3"/>
        <v>-25</v>
      </c>
      <c r="U111" s="38">
        <f t="shared" si="4"/>
        <v>48.7952</v>
      </c>
      <c r="V111" s="31">
        <f t="shared" si="5"/>
        <v>1219.88</v>
      </c>
      <c r="W111" s="39" t="str">
        <f>IFERROR(__xludf.DUMMYFUNCTION(" IF(Account!$F111&lt;&gt;"""", SPLIT(Account!$F111, "" ""), """")"),"Vente")</f>
        <v>Vente</v>
      </c>
      <c r="X111" s="54">
        <f>IFERROR(__xludf.DUMMYFUNCTION("""COMPUTED_VALUE"""),25.0)</f>
        <v>25</v>
      </c>
      <c r="Y111" s="54" t="str">
        <f>IFERROR(__xludf.DUMMYFUNCTION("""COMPUTED_VALUE"""),"VANGUARD")</f>
        <v>VANGUARD</v>
      </c>
      <c r="Z111" s="54" t="str">
        <f>IFERROR(__xludf.DUMMYFUNCTION("""COMPUTED_VALUE"""),"S&amp;P500@48,795")</f>
        <v>S&amp;P500@48,795</v>
      </c>
      <c r="AA111" s="54" t="str">
        <f>IFERROR(__xludf.DUMMYFUNCTION("""COMPUTED_VALUE"""),"EUR")</f>
        <v>EUR</v>
      </c>
      <c r="AB111" s="54" t="str">
        <f>IFERROR(__xludf.DUMMYFUNCTION("""COMPUTED_VALUE"""),"(IE00B3XXRP09)")</f>
        <v>(IE00B3XXRP09)</v>
      </c>
      <c r="AC111" s="54"/>
      <c r="AD111" s="54"/>
      <c r="AE111" s="54"/>
      <c r="AF111" s="54"/>
      <c r="AG111" s="54"/>
      <c r="AH111" s="54"/>
      <c r="AI111" s="54"/>
      <c r="AJ111" s="54"/>
      <c r="AK111" s="54"/>
    </row>
    <row r="112">
      <c r="A112" s="10" t="s">
        <v>873</v>
      </c>
      <c r="B112" s="10" t="s">
        <v>874</v>
      </c>
      <c r="C112" s="10" t="s">
        <v>873</v>
      </c>
      <c r="D112" s="10" t="s">
        <v>140</v>
      </c>
      <c r="E112" s="10" t="s">
        <v>141</v>
      </c>
      <c r="F112" s="12" t="s">
        <v>875</v>
      </c>
      <c r="G112" s="10"/>
      <c r="H112" s="10" t="s">
        <v>70</v>
      </c>
      <c r="I112" s="10" t="s">
        <v>876</v>
      </c>
      <c r="J112" s="10" t="s">
        <v>70</v>
      </c>
      <c r="K112" s="10" t="s">
        <v>877</v>
      </c>
      <c r="L112" s="12" t="s">
        <v>878</v>
      </c>
      <c r="M112" s="29">
        <f t="shared" si="1"/>
        <v>-26</v>
      </c>
      <c r="N112" s="31">
        <f>IFERROR(__xludf.DUMMYFUNCTION("IF(Account!$F112&lt;&gt;"""", VALUE(REGEXREPLACE($I112, ""\,"", ""."")), """")"),1265.94)</f>
        <v>1265.94</v>
      </c>
      <c r="O112" s="33">
        <f>IF(Account!$F112&lt;&gt;"", DATEVALUE(MID($A112,4,3) &amp; LEFT($A112,3) &amp; RIGHT($A112,4)) + TIMEVALUE($B112), "")</f>
        <v>43567.53333</v>
      </c>
      <c r="P112" s="34">
        <f>IF(Account!$F112&lt;&gt;"", DATEVALUE(MID($C112,4,3) &amp; LEFT($C112,3) &amp; RIGHT($C112,4)), "")</f>
        <v>43567</v>
      </c>
      <c r="Q112" s="35" t="str">
        <f t="array" ref="Q112">IF($R112&lt;&gt;"",IFERROR(INDEX(Investment!$A:$A,MATCH($R112,Investment!$H:$H,0))),)</f>
        <v>Stocks</v>
      </c>
      <c r="R112" s="36" t="str">
        <f t="array" ref="R112">IF(AND($Y112="change",$H112="EUR"),IF(AND($AA112="Crédit",$O112=$O113),$R113,IF(AND($AA112="Débit",$O112=$O111),$R111)),IF(OR(AND(OR($E112&lt;&gt;"",$M112=""),$N112&lt;&gt;0),$A112=""),IFERROR(INDEX(Investment!$H:$H,MATCH($E112,Investment!$F:$F,0))),IFERROR(INDEX($R113:$R1119,MATCH(SUBSTITUTE($I112,"-","",1),$K113:$K1119,0)),INDEX($R113:$R1119,MATCH($K112,$K113:$K1119,0)))))</f>
        <v>Vanguard S&amp;P 500 UCITS</v>
      </c>
      <c r="S112" s="35" t="str">
        <f t="shared" si="2"/>
        <v>SELL</v>
      </c>
      <c r="T112" s="37">
        <f t="shared" si="3"/>
        <v>-26</v>
      </c>
      <c r="U112" s="38">
        <f t="shared" si="4"/>
        <v>48.69</v>
      </c>
      <c r="V112" s="31">
        <f t="shared" si="5"/>
        <v>1265.94</v>
      </c>
      <c r="W112" s="39" t="str">
        <f>IFERROR(__xludf.DUMMYFUNCTION(" IF(Account!$F112&lt;&gt;"""", SPLIT(Account!$F112, "" ""), """")"),"Vente")</f>
        <v>Vente</v>
      </c>
      <c r="X112" s="54">
        <f>IFERROR(__xludf.DUMMYFUNCTION("""COMPUTED_VALUE"""),26.0)</f>
        <v>26</v>
      </c>
      <c r="Y112" s="54" t="str">
        <f>IFERROR(__xludf.DUMMYFUNCTION("""COMPUTED_VALUE"""),"VANGUARD")</f>
        <v>VANGUARD</v>
      </c>
      <c r="Z112" s="54" t="str">
        <f>IFERROR(__xludf.DUMMYFUNCTION("""COMPUTED_VALUE"""),"S&amp;P500@48,69")</f>
        <v>S&amp;P500@48,69</v>
      </c>
      <c r="AA112" s="54" t="str">
        <f>IFERROR(__xludf.DUMMYFUNCTION("""COMPUTED_VALUE"""),"EUR")</f>
        <v>EUR</v>
      </c>
      <c r="AB112" s="54" t="str">
        <f>IFERROR(__xludf.DUMMYFUNCTION("""COMPUTED_VALUE"""),"(IE00B3XXRP09)")</f>
        <v>(IE00B3XXRP09)</v>
      </c>
      <c r="AC112" s="54"/>
      <c r="AD112" s="54"/>
      <c r="AE112" s="54"/>
      <c r="AF112" s="54"/>
      <c r="AG112" s="54"/>
      <c r="AH112" s="54"/>
      <c r="AI112" s="54"/>
      <c r="AJ112" s="54"/>
      <c r="AK112" s="54"/>
    </row>
    <row r="113">
      <c r="A113" s="10" t="s">
        <v>873</v>
      </c>
      <c r="B113" s="10" t="s">
        <v>892</v>
      </c>
      <c r="C113" s="10" t="s">
        <v>873</v>
      </c>
      <c r="D113" s="10" t="s">
        <v>83</v>
      </c>
      <c r="E113" s="10" t="s">
        <v>84</v>
      </c>
      <c r="F113" s="12" t="s">
        <v>222</v>
      </c>
      <c r="G113" s="10"/>
      <c r="H113" s="10" t="s">
        <v>70</v>
      </c>
      <c r="I113" s="10" t="s">
        <v>893</v>
      </c>
      <c r="J113" s="10" t="s">
        <v>70</v>
      </c>
      <c r="K113" s="10" t="s">
        <v>894</v>
      </c>
      <c r="L113" s="12" t="s">
        <v>895</v>
      </c>
      <c r="M113" s="29" t="str">
        <f t="shared" si="1"/>
        <v/>
      </c>
      <c r="N113" s="31">
        <f>IFERROR(__xludf.DUMMYFUNCTION("IF(Account!$F113&lt;&gt;"""", VALUE(REGEXREPLACE($I113, ""\,"", ""."")), """")"),-7.26)</f>
        <v>-7.26</v>
      </c>
      <c r="O113" s="33">
        <f>IF(Account!$F113&lt;&gt;"", DATEVALUE(MID($A113,4,3) &amp; LEFT($A113,3) &amp; RIGHT($A113,4)) + TIMEVALUE($B113), "")</f>
        <v>43567.49792</v>
      </c>
      <c r="P113" s="34">
        <f>IF(Account!$F113&lt;&gt;"", DATEVALUE(MID($C113,4,3) &amp; LEFT($C113,3) &amp; RIGHT($C113,4)), "")</f>
        <v>43567</v>
      </c>
      <c r="Q113" s="35" t="str">
        <f t="array" ref="Q113">IF($R113&lt;&gt;"",IFERROR(INDEX(Investment!$A:$A,MATCH($R113,Investment!$H:$H,0))),)</f>
        <v>Long term US bonds (20-25 year)</v>
      </c>
      <c r="R113" s="36" t="str">
        <f t="array" ref="R113">IF(AND($Y113="change",$H113="EUR"),IF(AND($AA113="Crédit",$O113=$O114),$R114,IF(AND($AA113="Débit",$O113=$O112),$R112)),IF(OR(AND(OR($E113&lt;&gt;"",$M113=""),$N113&lt;&gt;0),$A113=""),IFERROR(INDEX(Investment!$H:$H,MATCH($E113,Investment!$F:$F,0))),IFERROR(INDEX($R114:$R1119,MATCH(SUBSTITUTE($I113,"-","",1),$K114:$K1119,0)),INDEX($R114:$R1119,MATCH($K113,$K114:$K1119,0)))))</f>
        <v>iShares Treasury Bond 20+ UCITS</v>
      </c>
      <c r="S113" s="35" t="str">
        <f t="shared" si="2"/>
        <v>COST</v>
      </c>
      <c r="T113" s="37" t="str">
        <f t="shared" si="3"/>
        <v/>
      </c>
      <c r="U113" s="38" t="str">
        <f t="shared" si="4"/>
        <v/>
      </c>
      <c r="V113" s="31">
        <f t="shared" si="5"/>
        <v>-12.47</v>
      </c>
      <c r="W113" s="39" t="str">
        <f>IFERROR(__xludf.DUMMYFUNCTION(" IF(Account!$F113&lt;&gt;"""", SPLIT(Account!$F113, "" ""), """")"),"Frais")</f>
        <v>Frais</v>
      </c>
      <c r="X113" s="54" t="str">
        <f>IFERROR(__xludf.DUMMYFUNCTION("""COMPUTED_VALUE"""),"de")</f>
        <v>de</v>
      </c>
      <c r="Y113" s="54" t="str">
        <f>IFERROR(__xludf.DUMMYFUNCTION("""COMPUTED_VALUE"""),"courtage")</f>
        <v>courtage</v>
      </c>
      <c r="Z113" s="54"/>
      <c r="AA113" s="54"/>
      <c r="AB113" s="54"/>
      <c r="AC113" s="54"/>
      <c r="AD113" s="54"/>
      <c r="AE113" s="54"/>
      <c r="AF113" s="54"/>
      <c r="AG113" s="54"/>
      <c r="AH113" s="54"/>
      <c r="AI113" s="54"/>
      <c r="AJ113" s="54"/>
      <c r="AK113" s="54"/>
    </row>
    <row r="114">
      <c r="A114" s="10" t="s">
        <v>873</v>
      </c>
      <c r="B114" s="10" t="s">
        <v>892</v>
      </c>
      <c r="C114" s="10" t="s">
        <v>873</v>
      </c>
      <c r="D114" s="10" t="s">
        <v>83</v>
      </c>
      <c r="E114" s="10" t="s">
        <v>84</v>
      </c>
      <c r="F114" s="12" t="s">
        <v>222</v>
      </c>
      <c r="G114" s="10"/>
      <c r="H114" s="10" t="s">
        <v>70</v>
      </c>
      <c r="I114" s="10" t="s">
        <v>223</v>
      </c>
      <c r="J114" s="10" t="s">
        <v>70</v>
      </c>
      <c r="K114" s="10" t="s">
        <v>902</v>
      </c>
      <c r="L114" s="12" t="s">
        <v>895</v>
      </c>
      <c r="M114" s="29" t="str">
        <f t="shared" si="1"/>
        <v/>
      </c>
      <c r="N114" s="31">
        <f>IFERROR(__xludf.DUMMYFUNCTION("IF(Account!$F114&lt;&gt;"""", VALUE(REGEXREPLACE($I114, ""\,"", ""."")), """")"),-2.0)</f>
        <v>-2</v>
      </c>
      <c r="O114" s="33">
        <f>IF(Account!$F114&lt;&gt;"", DATEVALUE(MID($A114,4,3) &amp; LEFT($A114,3) &amp; RIGHT($A114,4)) + TIMEVALUE($B114), "")</f>
        <v>43567.49792</v>
      </c>
      <c r="P114" s="34">
        <f>IF(Account!$F114&lt;&gt;"", DATEVALUE(MID($C114,4,3) &amp; LEFT($C114,3) &amp; RIGHT($C114,4)), "")</f>
        <v>43567</v>
      </c>
      <c r="Q114" s="35" t="str">
        <f t="array" ref="Q114">IF($R114&lt;&gt;"",IFERROR(INDEX(Investment!$A:$A,MATCH($R114,Investment!$H:$H,0))),)</f>
        <v>Long term US bonds (20-25 year)</v>
      </c>
      <c r="R114" s="36" t="str">
        <f t="array" ref="R114">IF(AND($Y114="change",$H114="EUR"),IF(AND($AA114="Crédit",$O114=$O115),$R115,IF(AND($AA114="Débit",$O114=$O113),$R113)),IF(OR(AND(OR($E114&lt;&gt;"",$M114=""),$N114&lt;&gt;0),$A114=""),IFERROR(INDEX(Investment!$H:$H,MATCH($E114,Investment!$F:$F,0))),IFERROR(INDEX($R115:$R1119,MATCH(SUBSTITUTE($I114,"-","",1),$K115:$K1119,0)),INDEX($R115:$R1119,MATCH($K114,$K115:$K1119,0)))))</f>
        <v>iShares Treasury Bond 20+ UCITS</v>
      </c>
      <c r="S114" s="35" t="str">
        <f t="shared" si="2"/>
        <v>COST</v>
      </c>
      <c r="T114" s="37" t="str">
        <f t="shared" si="3"/>
        <v/>
      </c>
      <c r="U114" s="38" t="str">
        <f t="shared" si="4"/>
        <v/>
      </c>
      <c r="V114" s="31">
        <f t="shared" si="5"/>
        <v>-12.47</v>
      </c>
      <c r="W114" s="39" t="str">
        <f>IFERROR(__xludf.DUMMYFUNCTION(" IF(Account!$F114&lt;&gt;"""", SPLIT(Account!$F114, "" ""), """")"),"Frais")</f>
        <v>Frais</v>
      </c>
      <c r="X114" s="54" t="str">
        <f>IFERROR(__xludf.DUMMYFUNCTION("""COMPUTED_VALUE"""),"de")</f>
        <v>de</v>
      </c>
      <c r="Y114" s="54" t="str">
        <f>IFERROR(__xludf.DUMMYFUNCTION("""COMPUTED_VALUE"""),"courtage")</f>
        <v>courtage</v>
      </c>
      <c r="Z114" s="54"/>
      <c r="AA114" s="54"/>
      <c r="AB114" s="54"/>
      <c r="AC114" s="54"/>
      <c r="AD114" s="54"/>
      <c r="AE114" s="54"/>
      <c r="AF114" s="54"/>
      <c r="AG114" s="54"/>
      <c r="AH114" s="54"/>
      <c r="AI114" s="54"/>
      <c r="AJ114" s="54"/>
      <c r="AK114" s="54"/>
    </row>
    <row r="115">
      <c r="A115" s="10" t="s">
        <v>873</v>
      </c>
      <c r="B115" s="10" t="s">
        <v>892</v>
      </c>
      <c r="C115" s="10" t="s">
        <v>873</v>
      </c>
      <c r="D115" s="10" t="s">
        <v>83</v>
      </c>
      <c r="E115" s="10" t="s">
        <v>84</v>
      </c>
      <c r="F115" s="12" t="s">
        <v>222</v>
      </c>
      <c r="G115" s="10"/>
      <c r="H115" s="10" t="s">
        <v>70</v>
      </c>
      <c r="I115" s="10" t="s">
        <v>907</v>
      </c>
      <c r="J115" s="10" t="s">
        <v>70</v>
      </c>
      <c r="K115" s="10" t="s">
        <v>908</v>
      </c>
      <c r="L115" s="12" t="s">
        <v>895</v>
      </c>
      <c r="M115" s="29" t="str">
        <f t="shared" si="1"/>
        <v/>
      </c>
      <c r="N115" s="31">
        <f>IFERROR(__xludf.DUMMYFUNCTION("IF(Account!$F115&lt;&gt;"""", VALUE(REGEXREPLACE($I115, ""\,"", ""."")), """")"),-3.21)</f>
        <v>-3.21</v>
      </c>
      <c r="O115" s="33">
        <f>IF(Account!$F115&lt;&gt;"", DATEVALUE(MID($A115,4,3) &amp; LEFT($A115,3) &amp; RIGHT($A115,4)) + TIMEVALUE($B115), "")</f>
        <v>43567.49792</v>
      </c>
      <c r="P115" s="34">
        <f>IF(Account!$F115&lt;&gt;"", DATEVALUE(MID($C115,4,3) &amp; LEFT($C115,3) &amp; RIGHT($C115,4)), "")</f>
        <v>43567</v>
      </c>
      <c r="Q115" s="35" t="str">
        <f t="array" ref="Q115">IF($R115&lt;&gt;"",IFERROR(INDEX(Investment!$A:$A,MATCH($R115,Investment!$H:$H,0))),)</f>
        <v>Long term US bonds (20-25 year)</v>
      </c>
      <c r="R115" s="36" t="str">
        <f t="array" ref="R115">IF(AND($Y115="change",$H115="EUR"),IF(AND($AA115="Crédit",$O115=$O116),$R116,IF(AND($AA115="Débit",$O115=$O114),$R114)),IF(OR(AND(OR($E115&lt;&gt;"",$M115=""),$N115&lt;&gt;0),$A115=""),IFERROR(INDEX(Investment!$H:$H,MATCH($E115,Investment!$F:$F,0))),IFERROR(INDEX($R116:$R1119,MATCH(SUBSTITUTE($I115,"-","",1),$K116:$K1119,0)),INDEX($R116:$R1119,MATCH($K115,$K116:$K1119,0)))))</f>
        <v>iShares Treasury Bond 20+ UCITS</v>
      </c>
      <c r="S115" s="35" t="str">
        <f t="shared" si="2"/>
        <v>COST</v>
      </c>
      <c r="T115" s="37" t="str">
        <f t="shared" si="3"/>
        <v/>
      </c>
      <c r="U115" s="38" t="str">
        <f t="shared" si="4"/>
        <v/>
      </c>
      <c r="V115" s="31">
        <f t="shared" si="5"/>
        <v>-12.47</v>
      </c>
      <c r="W115" s="39" t="str">
        <f>IFERROR(__xludf.DUMMYFUNCTION(" IF(Account!$F115&lt;&gt;"""", SPLIT(Account!$F115, "" ""), """")"),"Frais")</f>
        <v>Frais</v>
      </c>
      <c r="X115" s="54" t="str">
        <f>IFERROR(__xludf.DUMMYFUNCTION("""COMPUTED_VALUE"""),"de")</f>
        <v>de</v>
      </c>
      <c r="Y115" s="54" t="str">
        <f>IFERROR(__xludf.DUMMYFUNCTION("""COMPUTED_VALUE"""),"courtage")</f>
        <v>courtage</v>
      </c>
      <c r="Z115" s="54"/>
      <c r="AA115" s="54"/>
      <c r="AB115" s="54"/>
      <c r="AC115" s="54"/>
      <c r="AD115" s="54"/>
      <c r="AE115" s="54"/>
      <c r="AF115" s="54"/>
      <c r="AG115" s="54"/>
      <c r="AH115" s="54"/>
      <c r="AI115" s="54"/>
      <c r="AJ115" s="54"/>
      <c r="AK115" s="54"/>
    </row>
    <row r="116">
      <c r="A116" s="10" t="s">
        <v>873</v>
      </c>
      <c r="B116" s="10" t="s">
        <v>892</v>
      </c>
      <c r="C116" s="10" t="s">
        <v>873</v>
      </c>
      <c r="D116" s="10" t="s">
        <v>83</v>
      </c>
      <c r="E116" s="10" t="s">
        <v>84</v>
      </c>
      <c r="F116" s="12" t="s">
        <v>911</v>
      </c>
      <c r="G116" s="10"/>
      <c r="H116" s="10" t="s">
        <v>70</v>
      </c>
      <c r="I116" s="10" t="s">
        <v>912</v>
      </c>
      <c r="J116" s="10" t="s">
        <v>70</v>
      </c>
      <c r="K116" s="10" t="s">
        <v>913</v>
      </c>
      <c r="L116" s="12" t="s">
        <v>895</v>
      </c>
      <c r="M116" s="29">
        <f t="shared" si="1"/>
        <v>8864</v>
      </c>
      <c r="N116" s="31">
        <f>IFERROR(__xludf.DUMMYFUNCTION("IF(Account!$F116&lt;&gt;"""", VALUE(REGEXREPLACE($I116, ""\,"", ""."")), """")"),-36324.67)</f>
        <v>-36324.67</v>
      </c>
      <c r="O116" s="33">
        <f>IF(Account!$F116&lt;&gt;"", DATEVALUE(MID($A116,4,3) &amp; LEFT($A116,3) &amp; RIGHT($A116,4)) + TIMEVALUE($B116), "")</f>
        <v>43567.49792</v>
      </c>
      <c r="P116" s="34">
        <f>IF(Account!$F116&lt;&gt;"", DATEVALUE(MID($C116,4,3) &amp; LEFT($C116,3) &amp; RIGHT($C116,4)), "")</f>
        <v>43567</v>
      </c>
      <c r="Q116" s="35" t="str">
        <f t="array" ref="Q116">IF($R116&lt;&gt;"",IFERROR(INDEX(Investment!$A:$A,MATCH($R116,Investment!$H:$H,0))),)</f>
        <v>Long term US bonds (20-25 year)</v>
      </c>
      <c r="R116" s="36" t="str">
        <f t="array" ref="R116">IF(AND($Y116="change",$H116="EUR"),IF(AND($AA116="Crédit",$O116=$O117),$R117,IF(AND($AA116="Débit",$O116=$O115),$R115)),IF(OR(AND(OR($E116&lt;&gt;"",$M116=""),$N116&lt;&gt;0),$A116=""),IFERROR(INDEX(Investment!$H:$H,MATCH($E116,Investment!$F:$F,0))),IFERROR(INDEX($R117:$R1119,MATCH(SUBSTITUTE($I116,"-","",1),$K117:$K1119,0)),INDEX($R117:$R1119,MATCH($K116,$K117:$K1119,0)))))</f>
        <v>iShares Treasury Bond 20+ UCITS</v>
      </c>
      <c r="S116" s="35" t="str">
        <f t="shared" si="2"/>
        <v>BUY</v>
      </c>
      <c r="T116" s="37">
        <f t="shared" si="3"/>
        <v>12775</v>
      </c>
      <c r="U116" s="38">
        <f t="shared" si="4"/>
        <v>4.097969472</v>
      </c>
      <c r="V116" s="31">
        <f t="shared" si="5"/>
        <v>-52351.56</v>
      </c>
      <c r="W116" s="39" t="str">
        <f>IFERROR(__xludf.DUMMYFUNCTION(" IF(Account!$F116&lt;&gt;"""", SPLIT(Account!$F116, "" ""), """")"),"Achat")</f>
        <v>Achat</v>
      </c>
      <c r="X116" s="54" t="str">
        <f>IFERROR(__xludf.DUMMYFUNCTION("""COMPUTED_VALUE"""),"8 864")</f>
        <v>8 864</v>
      </c>
      <c r="Y116" s="54" t="str">
        <f>IFERROR(__xludf.DUMMYFUNCTION("""COMPUTED_VALUE"""),"ISHSIV-DL")</f>
        <v>ISHSIV-DL</v>
      </c>
      <c r="Z116" s="54" t="str">
        <f>IFERROR(__xludf.DUMMYFUNCTION("""COMPUTED_VALUE"""),"T.BD20+YR")</f>
        <v>T.BD20+YR</v>
      </c>
      <c r="AA116" s="54" t="str">
        <f>IFERROR(__xludf.DUMMYFUNCTION("""COMPUTED_VALUE"""),"DL")</f>
        <v>DL</v>
      </c>
      <c r="AB116" s="54" t="str">
        <f>IFERROR(__xludf.DUMMYFUNCTION("""COMPUTED_VALUE"""),"D@4,098")</f>
        <v>D@4,098</v>
      </c>
      <c r="AC116" s="54" t="str">
        <f>IFERROR(__xludf.DUMMYFUNCTION("""COMPUTED_VALUE"""),"EUR")</f>
        <v>EUR</v>
      </c>
      <c r="AD116" s="54" t="str">
        <f>IFERROR(__xludf.DUMMYFUNCTION("""COMPUTED_VALUE"""),"(IE00BSKRJZ44)")</f>
        <v>(IE00BSKRJZ44)</v>
      </c>
      <c r="AE116" s="54"/>
      <c r="AF116" s="54"/>
      <c r="AG116" s="54"/>
      <c r="AH116" s="54"/>
      <c r="AI116" s="54"/>
      <c r="AJ116" s="54"/>
      <c r="AK116" s="54"/>
    </row>
    <row r="117">
      <c r="A117" s="10" t="s">
        <v>873</v>
      </c>
      <c r="B117" s="10" t="s">
        <v>892</v>
      </c>
      <c r="C117" s="10" t="s">
        <v>873</v>
      </c>
      <c r="D117" s="10" t="s">
        <v>83</v>
      </c>
      <c r="E117" s="10" t="s">
        <v>84</v>
      </c>
      <c r="F117" s="12" t="s">
        <v>916</v>
      </c>
      <c r="G117" s="10"/>
      <c r="H117" s="10" t="s">
        <v>70</v>
      </c>
      <c r="I117" s="10" t="s">
        <v>917</v>
      </c>
      <c r="J117" s="10" t="s">
        <v>70</v>
      </c>
      <c r="K117" s="10" t="s">
        <v>918</v>
      </c>
      <c r="L117" s="12" t="s">
        <v>895</v>
      </c>
      <c r="M117" s="29">
        <f t="shared" si="1"/>
        <v>3911</v>
      </c>
      <c r="N117" s="31">
        <f>IFERROR(__xludf.DUMMYFUNCTION("IF(Account!$F117&lt;&gt;"""", VALUE(REGEXREPLACE($I117, ""\,"", ""."")), """")"),-16026.89)</f>
        <v>-16026.89</v>
      </c>
      <c r="O117" s="33">
        <f>IF(Account!$F117&lt;&gt;"", DATEVALUE(MID($A117,4,3) &amp; LEFT($A117,3) &amp; RIGHT($A117,4)) + TIMEVALUE($B117), "")</f>
        <v>43567.49792</v>
      </c>
      <c r="P117" s="34">
        <f>IF(Account!$F117&lt;&gt;"", DATEVALUE(MID($C117,4,3) &amp; LEFT($C117,3) &amp; RIGHT($C117,4)), "")</f>
        <v>43567</v>
      </c>
      <c r="Q117" s="35" t="str">
        <f t="array" ref="Q117">IF($R117&lt;&gt;"",IFERROR(INDEX(Investment!$A:$A,MATCH($R117,Investment!$H:$H,0))),)</f>
        <v>Long term US bonds (20-25 year)</v>
      </c>
      <c r="R117" s="36" t="str">
        <f t="array" ref="R117">IF(AND($Y117="change",$H117="EUR"),IF(AND($AA117="Crédit",$O117=$O118),$R118,IF(AND($AA117="Débit",$O117=$O116),$R116)),IF(OR(AND(OR($E117&lt;&gt;"",$M117=""),$N117&lt;&gt;0),$A117=""),IFERROR(INDEX(Investment!$H:$H,MATCH($E117,Investment!$F:$F,0))),IFERROR(INDEX($R118:$R1119,MATCH(SUBSTITUTE($I117,"-","",1),$K118:$K1119,0)),INDEX($R118:$R1119,MATCH($K117,$K118:$K1119,0)))))</f>
        <v>iShares Treasury Bond 20+ UCITS</v>
      </c>
      <c r="S117" s="35" t="str">
        <f t="shared" si="2"/>
        <v>BUY</v>
      </c>
      <c r="T117" s="37">
        <f t="shared" si="3"/>
        <v>12775</v>
      </c>
      <c r="U117" s="38">
        <f t="shared" si="4"/>
        <v>4.097969472</v>
      </c>
      <c r="V117" s="31">
        <f t="shared" si="5"/>
        <v>-52351.56</v>
      </c>
      <c r="W117" s="39" t="str">
        <f>IFERROR(__xludf.DUMMYFUNCTION(" IF(Account!$F117&lt;&gt;"""", SPLIT(Account!$F117, "" ""), """")"),"Achat")</f>
        <v>Achat</v>
      </c>
      <c r="X117" s="54" t="str">
        <f>IFERROR(__xludf.DUMMYFUNCTION("""COMPUTED_VALUE"""),"3 911")</f>
        <v>3 911</v>
      </c>
      <c r="Y117" s="54" t="str">
        <f>IFERROR(__xludf.DUMMYFUNCTION("""COMPUTED_VALUE"""),"ISHSIV-DL")</f>
        <v>ISHSIV-DL</v>
      </c>
      <c r="Z117" s="54" t="str">
        <f>IFERROR(__xludf.DUMMYFUNCTION("""COMPUTED_VALUE"""),"T.BD20+YR")</f>
        <v>T.BD20+YR</v>
      </c>
      <c r="AA117" s="54" t="str">
        <f>IFERROR(__xludf.DUMMYFUNCTION("""COMPUTED_VALUE"""),"DL")</f>
        <v>DL</v>
      </c>
      <c r="AB117" s="54" t="str">
        <f>IFERROR(__xludf.DUMMYFUNCTION("""COMPUTED_VALUE"""),"D@4,0979")</f>
        <v>D@4,0979</v>
      </c>
      <c r="AC117" s="54" t="str">
        <f>IFERROR(__xludf.DUMMYFUNCTION("""COMPUTED_VALUE"""),"EUR")</f>
        <v>EUR</v>
      </c>
      <c r="AD117" s="54" t="str">
        <f>IFERROR(__xludf.DUMMYFUNCTION("""COMPUTED_VALUE"""),"(IE00BSKRJZ44)")</f>
        <v>(IE00BSKRJZ44)</v>
      </c>
      <c r="AE117" s="54"/>
      <c r="AF117" s="54"/>
      <c r="AG117" s="54"/>
      <c r="AH117" s="54"/>
      <c r="AI117" s="54"/>
      <c r="AJ117" s="54"/>
      <c r="AK117" s="54"/>
    </row>
    <row r="118">
      <c r="A118" s="10" t="s">
        <v>873</v>
      </c>
      <c r="B118" s="10" t="s">
        <v>920</v>
      </c>
      <c r="C118" s="10" t="s">
        <v>873</v>
      </c>
      <c r="D118" s="10" t="s">
        <v>83</v>
      </c>
      <c r="E118" s="10" t="s">
        <v>84</v>
      </c>
      <c r="F118" s="12" t="s">
        <v>222</v>
      </c>
      <c r="G118" s="10"/>
      <c r="H118" s="10" t="s">
        <v>70</v>
      </c>
      <c r="I118" s="10" t="s">
        <v>922</v>
      </c>
      <c r="J118" s="10" t="s">
        <v>70</v>
      </c>
      <c r="K118" s="10" t="s">
        <v>923</v>
      </c>
      <c r="L118" s="12" t="s">
        <v>924</v>
      </c>
      <c r="M118" s="29" t="str">
        <f t="shared" si="1"/>
        <v/>
      </c>
      <c r="N118" s="31">
        <f>IFERROR(__xludf.DUMMYFUNCTION("IF(Account!$F118&lt;&gt;"""", VALUE(REGEXREPLACE($I118, ""\,"", ""."")), """")"),-36.45)</f>
        <v>-36.45</v>
      </c>
      <c r="O118" s="33">
        <f>IF(Account!$F118&lt;&gt;"", DATEVALUE(MID($A118,4,3) &amp; LEFT($A118,3) &amp; RIGHT($A118,4)) + TIMEVALUE($B118), "")</f>
        <v>43567.49236</v>
      </c>
      <c r="P118" s="34">
        <f>IF(Account!$F118&lt;&gt;"", DATEVALUE(MID($C118,4,3) &amp; LEFT($C118,3) &amp; RIGHT($C118,4)), "")</f>
        <v>43567</v>
      </c>
      <c r="Q118" s="35" t="str">
        <f t="array" ref="Q118">IF($R118&lt;&gt;"",IFERROR(INDEX(Investment!$A:$A,MATCH($R118,Investment!$H:$H,0))),)</f>
        <v>Long term US bonds (20-25 year)</v>
      </c>
      <c r="R118" s="36" t="str">
        <f t="array" ref="R118">IF(AND($Y118="change",$H118="EUR"),IF(AND($AA118="Crédit",$O118=$O119),$R119,IF(AND($AA118="Débit",$O118=$O117),$R117)),IF(OR(AND(OR($E118&lt;&gt;"",$M118=""),$N118&lt;&gt;0),$A118=""),IFERROR(INDEX(Investment!$H:$H,MATCH($E118,Investment!$F:$F,0))),IFERROR(INDEX($R119:$R1119,MATCH(SUBSTITUTE($I118,"-","",1),$K119:$K1119,0)),INDEX($R119:$R1119,MATCH($K118,$K119:$K1119,0)))))</f>
        <v>iShares Treasury Bond 20+ UCITS</v>
      </c>
      <c r="S118" s="35" t="str">
        <f t="shared" si="2"/>
        <v>COST</v>
      </c>
      <c r="T118" s="37" t="str">
        <f t="shared" si="3"/>
        <v/>
      </c>
      <c r="U118" s="38" t="str">
        <f t="shared" si="4"/>
        <v/>
      </c>
      <c r="V118" s="31">
        <f t="shared" si="5"/>
        <v>-51.65</v>
      </c>
      <c r="W118" s="39" t="str">
        <f>IFERROR(__xludf.DUMMYFUNCTION(" IF(Account!$F118&lt;&gt;"""", SPLIT(Account!$F118, "" ""), """")"),"Frais")</f>
        <v>Frais</v>
      </c>
      <c r="X118" s="54" t="str">
        <f>IFERROR(__xludf.DUMMYFUNCTION("""COMPUTED_VALUE"""),"de")</f>
        <v>de</v>
      </c>
      <c r="Y118" s="54" t="str">
        <f>IFERROR(__xludf.DUMMYFUNCTION("""COMPUTED_VALUE"""),"courtage")</f>
        <v>courtage</v>
      </c>
      <c r="Z118" s="54"/>
      <c r="AA118" s="54"/>
      <c r="AB118" s="54"/>
      <c r="AC118" s="54"/>
      <c r="AD118" s="54"/>
      <c r="AE118" s="54"/>
      <c r="AF118" s="54"/>
      <c r="AG118" s="54"/>
      <c r="AH118" s="54"/>
      <c r="AI118" s="54"/>
      <c r="AJ118" s="54"/>
      <c r="AK118" s="54"/>
    </row>
    <row r="119">
      <c r="A119" s="10" t="s">
        <v>873</v>
      </c>
      <c r="B119" s="10" t="s">
        <v>920</v>
      </c>
      <c r="C119" s="10" t="s">
        <v>873</v>
      </c>
      <c r="D119" s="10" t="s">
        <v>83</v>
      </c>
      <c r="E119" s="10" t="s">
        <v>84</v>
      </c>
      <c r="F119" s="12" t="s">
        <v>926</v>
      </c>
      <c r="G119" s="10"/>
      <c r="H119" s="10" t="s">
        <v>70</v>
      </c>
      <c r="I119" s="10" t="s">
        <v>927</v>
      </c>
      <c r="J119" s="10" t="s">
        <v>70</v>
      </c>
      <c r="K119" s="10" t="s">
        <v>928</v>
      </c>
      <c r="L119" s="12" t="s">
        <v>924</v>
      </c>
      <c r="M119" s="29">
        <f t="shared" si="1"/>
        <v>44467</v>
      </c>
      <c r="N119" s="31">
        <f>IFERROR(__xludf.DUMMYFUNCTION("IF(Account!$F119&lt;&gt;"""", VALUE(REGEXREPLACE($I119, ""\,"", ""."")), """")"),-182225.77)</f>
        <v>-182225.77</v>
      </c>
      <c r="O119" s="33">
        <f>IF(Account!$F119&lt;&gt;"", DATEVALUE(MID($A119,4,3) &amp; LEFT($A119,3) &amp; RIGHT($A119,4)) + TIMEVALUE($B119), "")</f>
        <v>43567.49236</v>
      </c>
      <c r="P119" s="34">
        <f>IF(Account!$F119&lt;&gt;"", DATEVALUE(MID($C119,4,3) &amp; LEFT($C119,3) &amp; RIGHT($C119,4)), "")</f>
        <v>43567</v>
      </c>
      <c r="Q119" s="35" t="str">
        <f t="array" ref="Q119">IF($R119&lt;&gt;"",IFERROR(INDEX(Investment!$A:$A,MATCH($R119,Investment!$H:$H,0))),)</f>
        <v>Long term US bonds (20-25 year)</v>
      </c>
      <c r="R119" s="36" t="str">
        <f t="array" ref="R119">IF(AND($Y119="change",$H119="EUR"),IF(AND($AA119="Crédit",$O119=$O120),$R120,IF(AND($AA119="Débit",$O119=$O118),$R118)),IF(OR(AND(OR($E119&lt;&gt;"",$M119=""),$N119&lt;&gt;0),$A119=""),IFERROR(INDEX(Investment!$H:$H,MATCH($E119,Investment!$F:$F,0))),IFERROR(INDEX($R120:$R1119,MATCH(SUBSTITUTE($I119,"-","",1),$K120:$K1119,0)),INDEX($R120:$R1119,MATCH($K119,$K120:$K1119,0)))))</f>
        <v>iShares Treasury Bond 20+ UCITS</v>
      </c>
      <c r="S119" s="35" t="str">
        <f t="shared" si="2"/>
        <v>BUY</v>
      </c>
      <c r="T119" s="37">
        <f t="shared" si="3"/>
        <v>60580</v>
      </c>
      <c r="U119" s="38">
        <f t="shared" si="4"/>
        <v>4.098</v>
      </c>
      <c r="V119" s="31">
        <f t="shared" si="5"/>
        <v>-248256.84</v>
      </c>
      <c r="W119" s="39" t="str">
        <f>IFERROR(__xludf.DUMMYFUNCTION(" IF(Account!$F119&lt;&gt;"""", SPLIT(Account!$F119, "" ""), """")"),"Achat")</f>
        <v>Achat</v>
      </c>
      <c r="X119" s="54" t="str">
        <f>IFERROR(__xludf.DUMMYFUNCTION("""COMPUTED_VALUE"""),"44 467")</f>
        <v>44 467</v>
      </c>
      <c r="Y119" s="54" t="str">
        <f>IFERROR(__xludf.DUMMYFUNCTION("""COMPUTED_VALUE"""),"ISHSIV-DL")</f>
        <v>ISHSIV-DL</v>
      </c>
      <c r="Z119" s="54" t="str">
        <f>IFERROR(__xludf.DUMMYFUNCTION("""COMPUTED_VALUE"""),"T.BD20+YR")</f>
        <v>T.BD20+YR</v>
      </c>
      <c r="AA119" s="54" t="str">
        <f>IFERROR(__xludf.DUMMYFUNCTION("""COMPUTED_VALUE"""),"DL")</f>
        <v>DL</v>
      </c>
      <c r="AB119" s="54" t="str">
        <f>IFERROR(__xludf.DUMMYFUNCTION("""COMPUTED_VALUE"""),"D@4,098")</f>
        <v>D@4,098</v>
      </c>
      <c r="AC119" s="54" t="str">
        <f>IFERROR(__xludf.DUMMYFUNCTION("""COMPUTED_VALUE"""),"EUR")</f>
        <v>EUR</v>
      </c>
      <c r="AD119" s="54" t="str">
        <f>IFERROR(__xludf.DUMMYFUNCTION("""COMPUTED_VALUE"""),"(IE00BSKRJZ44)")</f>
        <v>(IE00BSKRJZ44)</v>
      </c>
      <c r="AE119" s="54"/>
      <c r="AF119" s="54"/>
      <c r="AG119" s="54"/>
      <c r="AH119" s="54"/>
      <c r="AI119" s="54"/>
      <c r="AJ119" s="54"/>
      <c r="AK119" s="54"/>
    </row>
    <row r="120">
      <c r="A120" s="10" t="s">
        <v>873</v>
      </c>
      <c r="B120" s="10" t="s">
        <v>920</v>
      </c>
      <c r="C120" s="10" t="s">
        <v>873</v>
      </c>
      <c r="D120" s="10" t="s">
        <v>83</v>
      </c>
      <c r="E120" s="10" t="s">
        <v>84</v>
      </c>
      <c r="F120" s="12" t="s">
        <v>222</v>
      </c>
      <c r="G120" s="10"/>
      <c r="H120" s="10" t="s">
        <v>70</v>
      </c>
      <c r="I120" s="10" t="s">
        <v>931</v>
      </c>
      <c r="J120" s="10" t="s">
        <v>70</v>
      </c>
      <c r="K120" s="10" t="s">
        <v>932</v>
      </c>
      <c r="L120" s="12" t="s">
        <v>924</v>
      </c>
      <c r="M120" s="29" t="str">
        <f t="shared" si="1"/>
        <v/>
      </c>
      <c r="N120" s="31">
        <f>IFERROR(__xludf.DUMMYFUNCTION("IF(Account!$F120&lt;&gt;"""", VALUE(REGEXREPLACE($I120, ""\,"", ""."")), """")"),-5.63)</f>
        <v>-5.63</v>
      </c>
      <c r="O120" s="33">
        <f>IF(Account!$F120&lt;&gt;"", DATEVALUE(MID($A120,4,3) &amp; LEFT($A120,3) &amp; RIGHT($A120,4)) + TIMEVALUE($B120), "")</f>
        <v>43567.49236</v>
      </c>
      <c r="P120" s="34">
        <f>IF(Account!$F120&lt;&gt;"", DATEVALUE(MID($C120,4,3) &amp; LEFT($C120,3) &amp; RIGHT($C120,4)), "")</f>
        <v>43567</v>
      </c>
      <c r="Q120" s="35" t="str">
        <f t="array" ref="Q120">IF($R120&lt;&gt;"",IFERROR(INDEX(Investment!$A:$A,MATCH($R120,Investment!$H:$H,0))),)</f>
        <v>Long term US bonds (20-25 year)</v>
      </c>
      <c r="R120" s="36" t="str">
        <f t="array" ref="R120">IF(AND($Y120="change",$H120="EUR"),IF(AND($AA120="Crédit",$O120=$O121),$R121,IF(AND($AA120="Débit",$O120=$O119),$R119)),IF(OR(AND(OR($E120&lt;&gt;"",$M120=""),$N120&lt;&gt;0),$A120=""),IFERROR(INDEX(Investment!$H:$H,MATCH($E120,Investment!$F:$F,0))),IFERROR(INDEX($R121:$R1119,MATCH(SUBSTITUTE($I120,"-","",1),$K121:$K1119,0)),INDEX($R121:$R1119,MATCH($K120,$K121:$K1119,0)))))</f>
        <v>iShares Treasury Bond 20+ UCITS</v>
      </c>
      <c r="S120" s="35" t="str">
        <f t="shared" si="2"/>
        <v>COST</v>
      </c>
      <c r="T120" s="37" t="str">
        <f t="shared" si="3"/>
        <v/>
      </c>
      <c r="U120" s="38" t="str">
        <f t="shared" si="4"/>
        <v/>
      </c>
      <c r="V120" s="31">
        <f t="shared" si="5"/>
        <v>-51.65</v>
      </c>
      <c r="W120" s="39" t="str">
        <f>IFERROR(__xludf.DUMMYFUNCTION(" IF(Account!$F120&lt;&gt;"""", SPLIT(Account!$F120, "" ""), """")"),"Frais")</f>
        <v>Frais</v>
      </c>
      <c r="X120" s="54" t="str">
        <f>IFERROR(__xludf.DUMMYFUNCTION("""COMPUTED_VALUE"""),"de")</f>
        <v>de</v>
      </c>
      <c r="Y120" s="54" t="str">
        <f>IFERROR(__xludf.DUMMYFUNCTION("""COMPUTED_VALUE"""),"courtage")</f>
        <v>courtage</v>
      </c>
      <c r="Z120" s="54"/>
      <c r="AA120" s="54"/>
      <c r="AB120" s="54"/>
      <c r="AC120" s="54"/>
      <c r="AD120" s="54"/>
      <c r="AE120" s="54"/>
      <c r="AF120" s="54"/>
      <c r="AG120" s="54"/>
      <c r="AH120" s="54"/>
      <c r="AI120" s="54"/>
      <c r="AJ120" s="54"/>
      <c r="AK120" s="54"/>
    </row>
    <row r="121">
      <c r="A121" s="10" t="s">
        <v>873</v>
      </c>
      <c r="B121" s="10" t="s">
        <v>920</v>
      </c>
      <c r="C121" s="10" t="s">
        <v>873</v>
      </c>
      <c r="D121" s="10" t="s">
        <v>83</v>
      </c>
      <c r="E121" s="10" t="s">
        <v>84</v>
      </c>
      <c r="F121" s="12" t="s">
        <v>935</v>
      </c>
      <c r="G121" s="10"/>
      <c r="H121" s="10" t="s">
        <v>70</v>
      </c>
      <c r="I121" s="10" t="s">
        <v>936</v>
      </c>
      <c r="J121" s="10" t="s">
        <v>70</v>
      </c>
      <c r="K121" s="10" t="s">
        <v>937</v>
      </c>
      <c r="L121" s="12" t="s">
        <v>924</v>
      </c>
      <c r="M121" s="29">
        <f t="shared" si="1"/>
        <v>6874</v>
      </c>
      <c r="N121" s="31">
        <f>IFERROR(__xludf.DUMMYFUNCTION("IF(Account!$F121&lt;&gt;"""", VALUE(REGEXREPLACE($I121, ""\,"", ""."")), """")"),-28169.65)</f>
        <v>-28169.65</v>
      </c>
      <c r="O121" s="33">
        <f>IF(Account!$F121&lt;&gt;"", DATEVALUE(MID($A121,4,3) &amp; LEFT($A121,3) &amp; RIGHT($A121,4)) + TIMEVALUE($B121), "")</f>
        <v>43567.49236</v>
      </c>
      <c r="P121" s="34">
        <f>IF(Account!$F121&lt;&gt;"", DATEVALUE(MID($C121,4,3) &amp; LEFT($C121,3) &amp; RIGHT($C121,4)), "")</f>
        <v>43567</v>
      </c>
      <c r="Q121" s="35" t="str">
        <f t="array" ref="Q121">IF($R121&lt;&gt;"",IFERROR(INDEX(Investment!$A:$A,MATCH($R121,Investment!$H:$H,0))),)</f>
        <v>Long term US bonds (20-25 year)</v>
      </c>
      <c r="R121" s="36" t="str">
        <f t="array" ref="R121">IF(AND($Y121="change",$H121="EUR"),IF(AND($AA121="Crédit",$O121=$O122),$R122,IF(AND($AA121="Débit",$O121=$O120),$R120)),IF(OR(AND(OR($E121&lt;&gt;"",$M121=""),$N121&lt;&gt;0),$A121=""),IFERROR(INDEX(Investment!$H:$H,MATCH($E121,Investment!$F:$F,0))),IFERROR(INDEX($R122:$R1119,MATCH(SUBSTITUTE($I121,"-","",1),$K122:$K1119,0)),INDEX($R122:$R1119,MATCH($K121,$K122:$K1119,0)))))</f>
        <v>iShares Treasury Bond 20+ UCITS</v>
      </c>
      <c r="S121" s="35" t="str">
        <f t="shared" si="2"/>
        <v>BUY</v>
      </c>
      <c r="T121" s="37">
        <f t="shared" si="3"/>
        <v>60580</v>
      </c>
      <c r="U121" s="38">
        <f t="shared" si="4"/>
        <v>4.098</v>
      </c>
      <c r="V121" s="31">
        <f t="shared" si="5"/>
        <v>-248256.84</v>
      </c>
      <c r="W121" s="39" t="str">
        <f>IFERROR(__xludf.DUMMYFUNCTION(" IF(Account!$F121&lt;&gt;"""", SPLIT(Account!$F121, "" ""), """")"),"Achat")</f>
        <v>Achat</v>
      </c>
      <c r="X121" s="40" t="str">
        <f>IFERROR(__xludf.DUMMYFUNCTION("""COMPUTED_VALUE"""),"6 874")</f>
        <v>6 874</v>
      </c>
      <c r="Y121" s="40" t="str">
        <f>IFERROR(__xludf.DUMMYFUNCTION("""COMPUTED_VALUE"""),"ISHSIV-DL")</f>
        <v>ISHSIV-DL</v>
      </c>
      <c r="Z121" s="40" t="str">
        <f>IFERROR(__xludf.DUMMYFUNCTION("""COMPUTED_VALUE"""),"T.BD20+YR")</f>
        <v>T.BD20+YR</v>
      </c>
      <c r="AA121" s="40" t="str">
        <f>IFERROR(__xludf.DUMMYFUNCTION("""COMPUTED_VALUE"""),"DL")</f>
        <v>DL</v>
      </c>
      <c r="AB121" s="40" t="str">
        <f>IFERROR(__xludf.DUMMYFUNCTION("""COMPUTED_VALUE"""),"D@4,098")</f>
        <v>D@4,098</v>
      </c>
      <c r="AC121" s="40" t="str">
        <f>IFERROR(__xludf.DUMMYFUNCTION("""COMPUTED_VALUE"""),"EUR")</f>
        <v>EUR</v>
      </c>
      <c r="AD121" s="40" t="str">
        <f>IFERROR(__xludf.DUMMYFUNCTION("""COMPUTED_VALUE"""),"(IE00BSKRJZ44)")</f>
        <v>(IE00BSKRJZ44)</v>
      </c>
      <c r="AE121" s="40"/>
      <c r="AF121" s="40"/>
      <c r="AG121" s="40"/>
      <c r="AH121" s="40"/>
      <c r="AI121" s="40"/>
      <c r="AJ121" s="40"/>
      <c r="AK121" s="40"/>
    </row>
    <row r="122">
      <c r="A122" s="10" t="s">
        <v>873</v>
      </c>
      <c r="B122" s="10" t="s">
        <v>920</v>
      </c>
      <c r="C122" s="10" t="s">
        <v>873</v>
      </c>
      <c r="D122" s="10" t="s">
        <v>83</v>
      </c>
      <c r="E122" s="10" t="s">
        <v>84</v>
      </c>
      <c r="F122" s="12" t="s">
        <v>222</v>
      </c>
      <c r="G122" s="10"/>
      <c r="H122" s="10" t="s">
        <v>70</v>
      </c>
      <c r="I122" s="10" t="s">
        <v>223</v>
      </c>
      <c r="J122" s="10" t="s">
        <v>70</v>
      </c>
      <c r="K122" s="10" t="s">
        <v>940</v>
      </c>
      <c r="L122" s="12" t="s">
        <v>924</v>
      </c>
      <c r="M122" s="29" t="str">
        <f t="shared" si="1"/>
        <v/>
      </c>
      <c r="N122" s="31">
        <f>IFERROR(__xludf.DUMMYFUNCTION("IF(Account!$F122&lt;&gt;"""", VALUE(REGEXREPLACE($I122, ""\,"", ""."")), """")"),-2.0)</f>
        <v>-2</v>
      </c>
      <c r="O122" s="33">
        <f>IF(Account!$F122&lt;&gt;"", DATEVALUE(MID($A122,4,3) &amp; LEFT($A122,3) &amp; RIGHT($A122,4)) + TIMEVALUE($B122), "")</f>
        <v>43567.49236</v>
      </c>
      <c r="P122" s="34">
        <f>IF(Account!$F122&lt;&gt;"", DATEVALUE(MID($C122,4,3) &amp; LEFT($C122,3) &amp; RIGHT($C122,4)), "")</f>
        <v>43567</v>
      </c>
      <c r="Q122" s="35" t="str">
        <f t="array" ref="Q122">IF($R122&lt;&gt;"",IFERROR(INDEX(Investment!$A:$A,MATCH($R122,Investment!$H:$H,0))),)</f>
        <v>Long term US bonds (20-25 year)</v>
      </c>
      <c r="R122" s="36" t="str">
        <f t="array" ref="R122">IF(AND($Y122="change",$H122="EUR"),IF(AND($AA122="Crédit",$O122=$O123),$R123,IF(AND($AA122="Débit",$O122=$O121),$R121)),IF(OR(AND(OR($E122&lt;&gt;"",$M122=""),$N122&lt;&gt;0),$A122=""),IFERROR(INDEX(Investment!$H:$H,MATCH($E122,Investment!$F:$F,0))),IFERROR(INDEX($R123:$R1119,MATCH(SUBSTITUTE($I122,"-","",1),$K123:$K1119,0)),INDEX($R123:$R1119,MATCH($K122,$K123:$K1119,0)))))</f>
        <v>iShares Treasury Bond 20+ UCITS</v>
      </c>
      <c r="S122" s="35" t="str">
        <f t="shared" si="2"/>
        <v>COST</v>
      </c>
      <c r="T122" s="37" t="str">
        <f t="shared" si="3"/>
        <v/>
      </c>
      <c r="U122" s="38" t="str">
        <f t="shared" si="4"/>
        <v/>
      </c>
      <c r="V122" s="31">
        <f t="shared" si="5"/>
        <v>-51.65</v>
      </c>
      <c r="W122" s="39" t="str">
        <f>IFERROR(__xludf.DUMMYFUNCTION(" IF(Account!$F122&lt;&gt;"""", SPLIT(Account!$F122, "" ""), """")"),"Frais")</f>
        <v>Frais</v>
      </c>
      <c r="X122" s="40" t="str">
        <f>IFERROR(__xludf.DUMMYFUNCTION("""COMPUTED_VALUE"""),"de")</f>
        <v>de</v>
      </c>
      <c r="Y122" s="40" t="str">
        <f>IFERROR(__xludf.DUMMYFUNCTION("""COMPUTED_VALUE"""),"courtage")</f>
        <v>courtage</v>
      </c>
      <c r="Z122" s="40"/>
      <c r="AA122" s="40"/>
      <c r="AB122" s="40"/>
      <c r="AC122" s="40"/>
      <c r="AD122" s="40"/>
      <c r="AE122" s="40"/>
      <c r="AF122" s="40"/>
      <c r="AG122" s="40"/>
      <c r="AH122" s="40"/>
      <c r="AI122" s="40"/>
      <c r="AJ122" s="40"/>
      <c r="AK122" s="40"/>
    </row>
    <row r="123">
      <c r="A123" s="10" t="s">
        <v>873</v>
      </c>
      <c r="B123" s="10" t="s">
        <v>920</v>
      </c>
      <c r="C123" s="10" t="s">
        <v>873</v>
      </c>
      <c r="D123" s="10" t="s">
        <v>83</v>
      </c>
      <c r="E123" s="10" t="s">
        <v>84</v>
      </c>
      <c r="F123" s="12" t="s">
        <v>222</v>
      </c>
      <c r="G123" s="10"/>
      <c r="H123" s="10" t="s">
        <v>70</v>
      </c>
      <c r="I123" s="10" t="s">
        <v>942</v>
      </c>
      <c r="J123" s="10" t="s">
        <v>70</v>
      </c>
      <c r="K123" s="10" t="s">
        <v>943</v>
      </c>
      <c r="L123" s="12" t="s">
        <v>924</v>
      </c>
      <c r="M123" s="29" t="str">
        <f t="shared" si="1"/>
        <v/>
      </c>
      <c r="N123" s="31">
        <f>IFERROR(__xludf.DUMMYFUNCTION("IF(Account!$F123&lt;&gt;"""", VALUE(REGEXREPLACE($I123, ""\,"", ""."")), """")"),-7.57)</f>
        <v>-7.57</v>
      </c>
      <c r="O123" s="33">
        <f>IF(Account!$F123&lt;&gt;"", DATEVALUE(MID($A123,4,3) &amp; LEFT($A123,3) &amp; RIGHT($A123,4)) + TIMEVALUE($B123), "")</f>
        <v>43567.49236</v>
      </c>
      <c r="P123" s="34">
        <f>IF(Account!$F123&lt;&gt;"", DATEVALUE(MID($C123,4,3) &amp; LEFT($C123,3) &amp; RIGHT($C123,4)), "")</f>
        <v>43567</v>
      </c>
      <c r="Q123" s="35" t="str">
        <f t="array" ref="Q123">IF($R123&lt;&gt;"",IFERROR(INDEX(Investment!$A:$A,MATCH($R123,Investment!$H:$H,0))),)</f>
        <v>Long term US bonds (20-25 year)</v>
      </c>
      <c r="R123" s="36" t="str">
        <f t="array" ref="R123">IF(AND($Y123="change",$H123="EUR"),IF(AND($AA123="Crédit",$O123=$O124),$R124,IF(AND($AA123="Débit",$O123=$O122),$R122)),IF(OR(AND(OR($E123&lt;&gt;"",$M123=""),$N123&lt;&gt;0),$A123=""),IFERROR(INDEX(Investment!$H:$H,MATCH($E123,Investment!$F:$F,0))),IFERROR(INDEX($R124:$R1119,MATCH(SUBSTITUTE($I123,"-","",1),$K124:$K1119,0)),INDEX($R124:$R1119,MATCH($K123,$K124:$K1119,0)))))</f>
        <v>iShares Treasury Bond 20+ UCITS</v>
      </c>
      <c r="S123" s="35" t="str">
        <f t="shared" si="2"/>
        <v>COST</v>
      </c>
      <c r="T123" s="37" t="str">
        <f t="shared" si="3"/>
        <v/>
      </c>
      <c r="U123" s="38" t="str">
        <f t="shared" si="4"/>
        <v/>
      </c>
      <c r="V123" s="31">
        <f t="shared" si="5"/>
        <v>-51.65</v>
      </c>
      <c r="W123" s="39" t="str">
        <f>IFERROR(__xludf.DUMMYFUNCTION(" IF(Account!$F123&lt;&gt;"""", SPLIT(Account!$F123, "" ""), """")"),"Frais")</f>
        <v>Frais</v>
      </c>
      <c r="X123" s="40" t="str">
        <f>IFERROR(__xludf.DUMMYFUNCTION("""COMPUTED_VALUE"""),"de")</f>
        <v>de</v>
      </c>
      <c r="Y123" s="40" t="str">
        <f>IFERROR(__xludf.DUMMYFUNCTION("""COMPUTED_VALUE"""),"courtage")</f>
        <v>courtage</v>
      </c>
      <c r="Z123" s="40"/>
      <c r="AA123" s="40"/>
      <c r="AB123" s="40"/>
      <c r="AC123" s="40"/>
      <c r="AD123" s="40"/>
      <c r="AE123" s="40"/>
      <c r="AF123" s="40"/>
      <c r="AG123" s="40"/>
      <c r="AH123" s="40"/>
      <c r="AI123" s="40"/>
      <c r="AJ123" s="40"/>
      <c r="AK123" s="40"/>
    </row>
    <row r="124">
      <c r="A124" s="10" t="s">
        <v>873</v>
      </c>
      <c r="B124" s="10" t="s">
        <v>920</v>
      </c>
      <c r="C124" s="10" t="s">
        <v>873</v>
      </c>
      <c r="D124" s="10" t="s">
        <v>83</v>
      </c>
      <c r="E124" s="10" t="s">
        <v>84</v>
      </c>
      <c r="F124" s="12" t="s">
        <v>945</v>
      </c>
      <c r="G124" s="10"/>
      <c r="H124" s="10" t="s">
        <v>70</v>
      </c>
      <c r="I124" s="10" t="s">
        <v>946</v>
      </c>
      <c r="J124" s="10" t="s">
        <v>70</v>
      </c>
      <c r="K124" s="10" t="s">
        <v>947</v>
      </c>
      <c r="L124" s="12" t="s">
        <v>924</v>
      </c>
      <c r="M124" s="29">
        <f t="shared" si="1"/>
        <v>9239</v>
      </c>
      <c r="N124" s="31">
        <f>IFERROR(__xludf.DUMMYFUNCTION("IF(Account!$F124&lt;&gt;"""", VALUE(REGEXREPLACE($I124, ""\,"", ""."")), """")"),-37861.42)</f>
        <v>-37861.42</v>
      </c>
      <c r="O124" s="33">
        <f>IF(Account!$F124&lt;&gt;"", DATEVALUE(MID($A124,4,3) &amp; LEFT($A124,3) &amp; RIGHT($A124,4)) + TIMEVALUE($B124), "")</f>
        <v>43567.49236</v>
      </c>
      <c r="P124" s="34">
        <f>IF(Account!$F124&lt;&gt;"", DATEVALUE(MID($C124,4,3) &amp; LEFT($C124,3) &amp; RIGHT($C124,4)), "")</f>
        <v>43567</v>
      </c>
      <c r="Q124" s="35" t="str">
        <f t="array" ref="Q124">IF($R124&lt;&gt;"",IFERROR(INDEX(Investment!$A:$A,MATCH($R124,Investment!$H:$H,0))),)</f>
        <v>Long term US bonds (20-25 year)</v>
      </c>
      <c r="R124" s="36" t="str">
        <f t="array" ref="R124">IF(AND($Y124="change",$H124="EUR"),IF(AND($AA124="Crédit",$O124=$O125),$R125,IF(AND($AA124="Débit",$O124=$O123),$R123)),IF(OR(AND(OR($E124&lt;&gt;"",$M124=""),$N124&lt;&gt;0),$A124=""),IFERROR(INDEX(Investment!$H:$H,MATCH($E124,Investment!$F:$F,0))),IFERROR(INDEX($R125:$R1119,MATCH(SUBSTITUTE($I124,"-","",1),$K125:$K1119,0)),INDEX($R125:$R1119,MATCH($K124,$K125:$K1119,0)))))</f>
        <v>iShares Treasury Bond 20+ UCITS</v>
      </c>
      <c r="S124" s="35" t="str">
        <f t="shared" si="2"/>
        <v>BUY</v>
      </c>
      <c r="T124" s="37">
        <f t="shared" si="3"/>
        <v>60580</v>
      </c>
      <c r="U124" s="38">
        <f t="shared" si="4"/>
        <v>4.098</v>
      </c>
      <c r="V124" s="31">
        <f t="shared" si="5"/>
        <v>-248256.84</v>
      </c>
      <c r="W124" s="39" t="str">
        <f>IFERROR(__xludf.DUMMYFUNCTION(" IF(Account!$F124&lt;&gt;"""", SPLIT(Account!$F124, "" ""), """")"),"Achat")</f>
        <v>Achat</v>
      </c>
      <c r="X124" s="40" t="str">
        <f>IFERROR(__xludf.DUMMYFUNCTION("""COMPUTED_VALUE"""),"9 239")</f>
        <v>9 239</v>
      </c>
      <c r="Y124" s="40" t="str">
        <f>IFERROR(__xludf.DUMMYFUNCTION("""COMPUTED_VALUE"""),"ISHSIV-DL")</f>
        <v>ISHSIV-DL</v>
      </c>
      <c r="Z124" s="40" t="str">
        <f>IFERROR(__xludf.DUMMYFUNCTION("""COMPUTED_VALUE"""),"T.BD20+YR")</f>
        <v>T.BD20+YR</v>
      </c>
      <c r="AA124" s="40" t="str">
        <f>IFERROR(__xludf.DUMMYFUNCTION("""COMPUTED_VALUE"""),"DL")</f>
        <v>DL</v>
      </c>
      <c r="AB124" s="40" t="str">
        <f>IFERROR(__xludf.DUMMYFUNCTION("""COMPUTED_VALUE"""),"D@4,098")</f>
        <v>D@4,098</v>
      </c>
      <c r="AC124" s="40" t="str">
        <f>IFERROR(__xludf.DUMMYFUNCTION("""COMPUTED_VALUE"""),"EUR")</f>
        <v>EUR</v>
      </c>
      <c r="AD124" s="40" t="str">
        <f>IFERROR(__xludf.DUMMYFUNCTION("""COMPUTED_VALUE"""),"(IE00BSKRJZ44)")</f>
        <v>(IE00BSKRJZ44)</v>
      </c>
      <c r="AE124" s="40"/>
      <c r="AF124" s="40"/>
      <c r="AG124" s="40"/>
      <c r="AH124" s="40"/>
      <c r="AI124" s="40"/>
      <c r="AJ124" s="40"/>
      <c r="AK124" s="40"/>
    </row>
    <row r="125">
      <c r="A125" s="10" t="s">
        <v>950</v>
      </c>
      <c r="B125" s="10" t="s">
        <v>951</v>
      </c>
      <c r="C125" s="10" t="s">
        <v>952</v>
      </c>
      <c r="D125" s="10"/>
      <c r="E125" s="10"/>
      <c r="F125" s="12" t="s">
        <v>69</v>
      </c>
      <c r="G125" s="10"/>
      <c r="H125" s="10" t="s">
        <v>70</v>
      </c>
      <c r="I125" s="10" t="s">
        <v>953</v>
      </c>
      <c r="J125" s="10" t="s">
        <v>70</v>
      </c>
      <c r="K125" s="10" t="s">
        <v>954</v>
      </c>
      <c r="L125" s="12"/>
      <c r="M125" s="29">
        <f t="shared" si="1"/>
        <v>0</v>
      </c>
      <c r="N125" s="31">
        <f>IFERROR(__xludf.DUMMYFUNCTION("IF(Account!$F125&lt;&gt;"""", VALUE(REGEXREPLACE($I125, ""\,"", ""."")), """")"),973.13)</f>
        <v>973.13</v>
      </c>
      <c r="O125" s="33">
        <f>IF(Account!$F125&lt;&gt;"", DATEVALUE(MID($A125,4,3) &amp; LEFT($A125,3) &amp; RIGHT($A125,4)) + TIMEVALUE($B125), "")</f>
        <v>43566.28472</v>
      </c>
      <c r="P125" s="34">
        <f>IF(Account!$F125&lt;&gt;"", DATEVALUE(MID($C125,4,3) &amp; LEFT($C125,3) &amp; RIGHT($C125,4)), "")</f>
        <v>43565</v>
      </c>
      <c r="Q125" s="35" t="str">
        <f t="array" ref="Q125">IF($R125&lt;&gt;"",IFERROR(INDEX(Investment!$A:$A,MATCH($R125,Investment!$H:$H,0))),)</f>
        <v>Stocks</v>
      </c>
      <c r="R125" s="36" t="str">
        <f t="array" ref="R125">IF(AND($Y125="change",$H125="EUR"),IF(AND($AA125="Crédit",$O125=$O126),$R126,IF(AND($AA125="Débit",$O125=$O124),$R124)),IF(OR(AND(OR($E125&lt;&gt;"",$M125=""),$N125&lt;&gt;0),$A125=""),IFERROR(INDEX(Investment!$H:$H,MATCH($E125,Investment!$F:$F,0))),IFERROR(INDEX($R126:$R1119,MATCH(SUBSTITUTE($I125,"-","",1),$K126:$K1119,0)),INDEX($R126:$R1119,MATCH($K125,$K126:$K1119,0)))))</f>
        <v>Vanguard S&amp;P 500 UCITS</v>
      </c>
      <c r="S125" s="35" t="str">
        <f t="shared" si="2"/>
        <v>DIVIDEND</v>
      </c>
      <c r="T125" s="37" t="str">
        <f t="shared" si="3"/>
        <v/>
      </c>
      <c r="U125" s="38" t="str">
        <f t="shared" si="4"/>
        <v/>
      </c>
      <c r="V125" s="31">
        <f t="shared" si="5"/>
        <v>-125.08</v>
      </c>
      <c r="W125" s="39" t="str">
        <f>IFERROR(__xludf.DUMMYFUNCTION(" IF(Account!$F125&lt;&gt;"""", SPLIT(Account!$F125, "" ""), """")"),"Operation")</f>
        <v>Operation</v>
      </c>
      <c r="X125" s="40" t="str">
        <f>IFERROR(__xludf.DUMMYFUNCTION("""COMPUTED_VALUE"""),"de")</f>
        <v>de</v>
      </c>
      <c r="Y125" s="40" t="str">
        <f>IFERROR(__xludf.DUMMYFUNCTION("""COMPUTED_VALUE"""),"change")</f>
        <v>change</v>
      </c>
      <c r="Z125" s="40" t="str">
        <f>IFERROR(__xludf.DUMMYFUNCTION("""COMPUTED_VALUE"""),"-")</f>
        <v>-</v>
      </c>
      <c r="AA125" s="40" t="str">
        <f>IFERROR(__xludf.DUMMYFUNCTION("""COMPUTED_VALUE"""),"Crédit")</f>
        <v>Crédit</v>
      </c>
      <c r="AB125" s="40"/>
      <c r="AC125" s="40"/>
      <c r="AD125" s="40"/>
      <c r="AE125" s="40"/>
      <c r="AF125" s="40"/>
      <c r="AG125" s="40"/>
      <c r="AH125" s="40"/>
      <c r="AI125" s="40"/>
      <c r="AJ125" s="40"/>
      <c r="AK125" s="40"/>
    </row>
    <row r="126">
      <c r="A126" s="10" t="s">
        <v>950</v>
      </c>
      <c r="B126" s="10" t="s">
        <v>951</v>
      </c>
      <c r="C126" s="10" t="s">
        <v>952</v>
      </c>
      <c r="D126" s="10"/>
      <c r="E126" s="10"/>
      <c r="F126" s="12" t="s">
        <v>73</v>
      </c>
      <c r="G126" s="10" t="s">
        <v>959</v>
      </c>
      <c r="H126" s="10" t="s">
        <v>74</v>
      </c>
      <c r="I126" s="10" t="s">
        <v>960</v>
      </c>
      <c r="J126" s="10" t="s">
        <v>74</v>
      </c>
      <c r="K126" s="10" t="s">
        <v>76</v>
      </c>
      <c r="L126" s="12"/>
      <c r="M126" s="29">
        <f t="shared" si="1"/>
        <v>0</v>
      </c>
      <c r="N126" s="31">
        <f>IFERROR(__xludf.DUMMYFUNCTION("IF(Account!$F126&lt;&gt;"""", VALUE(REGEXREPLACE($I126, ""\,"", ""."")), """")"),-1098.21)</f>
        <v>-1098.21</v>
      </c>
      <c r="O126" s="33">
        <f>IF(Account!$F126&lt;&gt;"", DATEVALUE(MID($A126,4,3) &amp; LEFT($A126,3) &amp; RIGHT($A126,4)) + TIMEVALUE($B126), "")</f>
        <v>43566.28472</v>
      </c>
      <c r="P126" s="34">
        <f>IF(Account!$F126&lt;&gt;"", DATEVALUE(MID($C126,4,3) &amp; LEFT($C126,3) &amp; RIGHT($C126,4)), "")</f>
        <v>43565</v>
      </c>
      <c r="Q126" s="35" t="str">
        <f t="array" ref="Q126">IF($R126&lt;&gt;"",IFERROR(INDEX(Investment!$A:$A,MATCH($R126,Investment!$H:$H,0))),)</f>
        <v>Stocks</v>
      </c>
      <c r="R126" s="36" t="str">
        <f t="array" ref="R126">IF(AND($Y126="change",$H126="EUR"),IF(AND($AA126="Crédit",$O126=$O127),$R127,IF(AND($AA126="Débit",$O126=$O125),$R125)),IF(OR(AND(OR($E126&lt;&gt;"",$M126=""),$N126&lt;&gt;0),$A126=""),IFERROR(INDEX(Investment!$H:$H,MATCH($E126,Investment!$F:$F,0))),IFERROR(INDEX($R127:$R1119,MATCH(SUBSTITUTE($I126,"-","",1),$K127:$K1119,0)),INDEX($R127:$R1119,MATCH($K126,$K127:$K1119,0)))))</f>
        <v>Vanguard S&amp;P 500 UCITS</v>
      </c>
      <c r="S126" s="35" t="str">
        <f t="shared" si="2"/>
        <v>DIVIDEND</v>
      </c>
      <c r="T126" s="37" t="str">
        <f t="shared" si="3"/>
        <v/>
      </c>
      <c r="U126" s="38" t="str">
        <f t="shared" si="4"/>
        <v/>
      </c>
      <c r="V126" s="31">
        <f t="shared" si="5"/>
        <v>-125.08</v>
      </c>
      <c r="W126" s="39" t="str">
        <f>IFERROR(__xludf.DUMMYFUNCTION(" IF(Account!$F126&lt;&gt;"""", SPLIT(Account!$F126, "" ""), """")"),"Opération")</f>
        <v>Opération</v>
      </c>
      <c r="X126" s="40" t="str">
        <f>IFERROR(__xludf.DUMMYFUNCTION("""COMPUTED_VALUE"""),"de")</f>
        <v>de</v>
      </c>
      <c r="Y126" s="40" t="str">
        <f>IFERROR(__xludf.DUMMYFUNCTION("""COMPUTED_VALUE"""),"change")</f>
        <v>change</v>
      </c>
      <c r="Z126" s="40" t="str">
        <f>IFERROR(__xludf.DUMMYFUNCTION("""COMPUTED_VALUE"""),"-")</f>
        <v>-</v>
      </c>
      <c r="AA126" s="40" t="str">
        <f>IFERROR(__xludf.DUMMYFUNCTION("""COMPUTED_VALUE"""),"Débit")</f>
        <v>Débit</v>
      </c>
      <c r="AB126" s="40"/>
      <c r="AC126" s="40"/>
      <c r="AD126" s="40"/>
      <c r="AE126" s="40"/>
      <c r="AF126" s="40"/>
      <c r="AG126" s="40"/>
      <c r="AH126" s="40"/>
      <c r="AI126" s="40"/>
      <c r="AJ126" s="40"/>
      <c r="AK126" s="40"/>
    </row>
    <row r="127">
      <c r="A127" s="10" t="s">
        <v>952</v>
      </c>
      <c r="B127" s="10" t="s">
        <v>967</v>
      </c>
      <c r="C127" s="10" t="s">
        <v>952</v>
      </c>
      <c r="D127" s="10" t="s">
        <v>140</v>
      </c>
      <c r="E127" s="10" t="s">
        <v>141</v>
      </c>
      <c r="F127" s="12" t="s">
        <v>85</v>
      </c>
      <c r="G127" s="10"/>
      <c r="H127" s="10" t="s">
        <v>74</v>
      </c>
      <c r="I127" s="10" t="s">
        <v>968</v>
      </c>
      <c r="J127" s="10" t="s">
        <v>74</v>
      </c>
      <c r="K127" s="10" t="s">
        <v>968</v>
      </c>
      <c r="L127" s="12"/>
      <c r="M127" s="29" t="str">
        <f t="shared" si="1"/>
        <v/>
      </c>
      <c r="N127" s="31">
        <f>IFERROR(__xludf.DUMMYFUNCTION("IF(Account!$F127&lt;&gt;"""", VALUE(REGEXREPLACE($I127, ""\,"", ""."")), """")"),1098.21)</f>
        <v>1098.21</v>
      </c>
      <c r="O127" s="33">
        <f>IF(Account!$F127&lt;&gt;"", DATEVALUE(MID($A127,4,3) &amp; LEFT($A127,3) &amp; RIGHT($A127,4)) + TIMEVALUE($B127), "")</f>
        <v>43565.30069</v>
      </c>
      <c r="P127" s="34">
        <f>IF(Account!$F127&lt;&gt;"", DATEVALUE(MID($C127,4,3) &amp; LEFT($C127,3) &amp; RIGHT($C127,4)), "")</f>
        <v>43565</v>
      </c>
      <c r="Q127" s="35" t="str">
        <f t="array" ref="Q127">IF($R127&lt;&gt;"",IFERROR(INDEX(Investment!$A:$A,MATCH($R127,Investment!$H:$H,0))),)</f>
        <v>Stocks</v>
      </c>
      <c r="R127" s="36" t="str">
        <f t="array" ref="R127">IF(AND($Y127="change",$H127="EUR"),IF(AND($AA127="Crédit",$O127=$O128),$R128,IF(AND($AA127="Débit",$O127=$O126),$R126)),IF(OR(AND(OR($E127&lt;&gt;"",$M127=""),$N127&lt;&gt;0),$A127=""),IFERROR(INDEX(Investment!$H:$H,MATCH($E127,Investment!$F:$F,0))),IFERROR(INDEX($R128:$R1119,MATCH(SUBSTITUTE($I127,"-","",1),$K128:$K1119,0)),INDEX($R128:$R1119,MATCH($K127,$K128:$K1119,0)))))</f>
        <v>Vanguard S&amp;P 500 UCITS</v>
      </c>
      <c r="S127" s="35" t="str">
        <f t="shared" si="2"/>
        <v>DIVIDEND</v>
      </c>
      <c r="T127" s="37" t="str">
        <f t="shared" si="3"/>
        <v/>
      </c>
      <c r="U127" s="38" t="str">
        <f t="shared" si="4"/>
        <v/>
      </c>
      <c r="V127" s="31">
        <f t="shared" si="5"/>
        <v>1098.21</v>
      </c>
      <c r="W127" s="39" t="str">
        <f>IFERROR(__xludf.DUMMYFUNCTION(" IF(Account!$F127&lt;&gt;"""", SPLIT(Account!$F127, "" ""), """")"),"Dividende")</f>
        <v>Dividende</v>
      </c>
      <c r="X127" s="40"/>
      <c r="Y127" s="40"/>
      <c r="Z127" s="40"/>
      <c r="AA127" s="40"/>
      <c r="AB127" s="40"/>
      <c r="AC127" s="40"/>
      <c r="AD127" s="40"/>
      <c r="AE127" s="40"/>
      <c r="AF127" s="40"/>
      <c r="AG127" s="40"/>
      <c r="AH127" s="40"/>
      <c r="AI127" s="40"/>
      <c r="AJ127" s="40"/>
      <c r="AK127" s="40"/>
    </row>
    <row r="128">
      <c r="A128" s="10" t="s">
        <v>971</v>
      </c>
      <c r="B128" s="10" t="s">
        <v>972</v>
      </c>
      <c r="C128" s="10" t="s">
        <v>971</v>
      </c>
      <c r="D128" s="10" t="s">
        <v>140</v>
      </c>
      <c r="E128" s="10" t="s">
        <v>141</v>
      </c>
      <c r="F128" s="12" t="s">
        <v>973</v>
      </c>
      <c r="G128" s="10"/>
      <c r="H128" s="10" t="s">
        <v>70</v>
      </c>
      <c r="I128" s="10" t="s">
        <v>974</v>
      </c>
      <c r="J128" s="10" t="s">
        <v>70</v>
      </c>
      <c r="K128" s="10" t="s">
        <v>975</v>
      </c>
      <c r="L128" s="12" t="s">
        <v>976</v>
      </c>
      <c r="M128" s="29">
        <f t="shared" si="1"/>
        <v>-30</v>
      </c>
      <c r="N128" s="31">
        <f>IFERROR(__xludf.DUMMYFUNCTION("IF(Account!$F128&lt;&gt;"""", VALUE(REGEXREPLACE($I128, ""\,"", ""."")), """")"),1462.5)</f>
        <v>1462.5</v>
      </c>
      <c r="O128" s="33">
        <f>IF(Account!$F128&lt;&gt;"", DATEVALUE(MID($A128,4,3) &amp; LEFT($A128,3) &amp; RIGHT($A128,4)) + TIMEVALUE($B128), "")</f>
        <v>43560.60764</v>
      </c>
      <c r="P128" s="34">
        <f>IF(Account!$F128&lt;&gt;"", DATEVALUE(MID($C128,4,3) &amp; LEFT($C128,3) &amp; RIGHT($C128,4)), "")</f>
        <v>43560</v>
      </c>
      <c r="Q128" s="35" t="str">
        <f t="array" ref="Q128">IF($R128&lt;&gt;"",IFERROR(INDEX(Investment!$A:$A,MATCH($R128,Investment!$H:$H,0))),)</f>
        <v>Stocks</v>
      </c>
      <c r="R128" s="36" t="str">
        <f t="array" ref="R128">IF(AND($Y128="change",$H128="EUR"),IF(AND($AA128="Crédit",$O128=$O129),$R129,IF(AND($AA128="Débit",$O128=$O127),$R127)),IF(OR(AND(OR($E128&lt;&gt;"",$M128=""),$N128&lt;&gt;0),$A128=""),IFERROR(INDEX(Investment!$H:$H,MATCH($E128,Investment!$F:$F,0))),IFERROR(INDEX($R129:$R1119,MATCH(SUBSTITUTE($I128,"-","",1),$K129:$K1119,0)),INDEX($R129:$R1119,MATCH($K128,$K129:$K1119,0)))))</f>
        <v>Vanguard S&amp;P 500 UCITS</v>
      </c>
      <c r="S128" s="35" t="str">
        <f t="shared" si="2"/>
        <v>SELL</v>
      </c>
      <c r="T128" s="37">
        <f t="shared" si="3"/>
        <v>-30</v>
      </c>
      <c r="U128" s="38">
        <f t="shared" si="4"/>
        <v>48.75</v>
      </c>
      <c r="V128" s="31">
        <f t="shared" si="5"/>
        <v>1462.5</v>
      </c>
      <c r="W128" s="39" t="str">
        <f>IFERROR(__xludf.DUMMYFUNCTION(" IF(Account!$F128&lt;&gt;"""", SPLIT(Account!$F128, "" ""), """")"),"Vente")</f>
        <v>Vente</v>
      </c>
      <c r="X128" s="40">
        <f>IFERROR(__xludf.DUMMYFUNCTION("""COMPUTED_VALUE"""),30.0)</f>
        <v>30</v>
      </c>
      <c r="Y128" s="40" t="str">
        <f>IFERROR(__xludf.DUMMYFUNCTION("""COMPUTED_VALUE"""),"VANGUARD")</f>
        <v>VANGUARD</v>
      </c>
      <c r="Z128" s="40" t="str">
        <f>IFERROR(__xludf.DUMMYFUNCTION("""COMPUTED_VALUE"""),"S&amp;P500@48,75")</f>
        <v>S&amp;P500@48,75</v>
      </c>
      <c r="AA128" s="40" t="str">
        <f>IFERROR(__xludf.DUMMYFUNCTION("""COMPUTED_VALUE"""),"EUR")</f>
        <v>EUR</v>
      </c>
      <c r="AB128" s="40" t="str">
        <f>IFERROR(__xludf.DUMMYFUNCTION("""COMPUTED_VALUE"""),"(IE00B3XXRP09)")</f>
        <v>(IE00B3XXRP09)</v>
      </c>
      <c r="AC128" s="40"/>
      <c r="AD128" s="40"/>
      <c r="AE128" s="40"/>
      <c r="AF128" s="40"/>
      <c r="AG128" s="40"/>
      <c r="AH128" s="40"/>
      <c r="AI128" s="40"/>
      <c r="AJ128" s="40"/>
      <c r="AK128" s="40"/>
    </row>
    <row r="129">
      <c r="A129" s="10" t="s">
        <v>971</v>
      </c>
      <c r="B129" s="10" t="s">
        <v>979</v>
      </c>
      <c r="C129" s="10" t="s">
        <v>971</v>
      </c>
      <c r="D129" s="10" t="s">
        <v>107</v>
      </c>
      <c r="E129" s="10" t="s">
        <v>108</v>
      </c>
      <c r="F129" s="12" t="s">
        <v>980</v>
      </c>
      <c r="G129" s="10"/>
      <c r="H129" s="10" t="s">
        <v>70</v>
      </c>
      <c r="I129" s="10" t="s">
        <v>981</v>
      </c>
      <c r="J129" s="10" t="s">
        <v>70</v>
      </c>
      <c r="K129" s="10" t="s">
        <v>982</v>
      </c>
      <c r="L129" s="12" t="s">
        <v>983</v>
      </c>
      <c r="M129" s="29">
        <f t="shared" si="1"/>
        <v>-155</v>
      </c>
      <c r="N129" s="31">
        <f>IFERROR(__xludf.DUMMYFUNCTION("IF(Account!$F129&lt;&gt;"""", VALUE(REGEXREPLACE($I129, ""\,"", ""."")), """")"),1153.2)</f>
        <v>1153.2</v>
      </c>
      <c r="O129" s="33">
        <f>IF(Account!$F129&lt;&gt;"", DATEVALUE(MID($A129,4,3) &amp; LEFT($A129,3) &amp; RIGHT($A129,4)) + TIMEVALUE($B129), "")</f>
        <v>43560.60208</v>
      </c>
      <c r="P129" s="34">
        <f>IF(Account!$F129&lt;&gt;"", DATEVALUE(MID($C129,4,3) &amp; LEFT($C129,3) &amp; RIGHT($C129,4)), "")</f>
        <v>43560</v>
      </c>
      <c r="Q129" s="35" t="str">
        <f t="array" ref="Q129">IF($R129&lt;&gt;"",IFERROR(INDEX(Investment!$A:$A,MATCH($R129,Investment!$H:$H,0))),)</f>
        <v>Commodities</v>
      </c>
      <c r="R129" s="36" t="str">
        <f t="array" ref="R129">IF(AND($Y129="change",$H129="EUR"),IF(AND($AA129="Crédit",$O129=$O130),$R130,IF(AND($AA129="Débit",$O129=$O128),$R128)),IF(OR(AND(OR($E129&lt;&gt;"",$M129=""),$N129&lt;&gt;0),$A129=""),IFERROR(INDEX(Investment!$H:$H,MATCH($E129,Investment!$F:$F,0))),IFERROR(INDEX($R130:$R1119,MATCH(SUBSTITUTE($I129,"-","",1),$K130:$K1119,0)),INDEX($R130:$R1119,MATCH($K129,$K130:$K1119,0)))))</f>
        <v>ETFS All Commodities ETC</v>
      </c>
      <c r="S129" s="35" t="str">
        <f t="shared" si="2"/>
        <v>SELL</v>
      </c>
      <c r="T129" s="37">
        <f t="shared" si="3"/>
        <v>-155</v>
      </c>
      <c r="U129" s="38">
        <f t="shared" si="4"/>
        <v>7.44</v>
      </c>
      <c r="V129" s="31">
        <f t="shared" si="5"/>
        <v>1153.2</v>
      </c>
      <c r="W129" s="39" t="str">
        <f>IFERROR(__xludf.DUMMYFUNCTION(" IF(Account!$F129&lt;&gt;"""", SPLIT(Account!$F129, "" ""), """")"),"Vente")</f>
        <v>Vente</v>
      </c>
      <c r="X129" s="40">
        <f>IFERROR(__xludf.DUMMYFUNCTION("""COMPUTED_VALUE"""),155.0)</f>
        <v>155</v>
      </c>
      <c r="Y129" s="40" t="str">
        <f>IFERROR(__xludf.DUMMYFUNCTION("""COMPUTED_VALUE"""),"ETFS")</f>
        <v>ETFS</v>
      </c>
      <c r="Z129" s="40" t="str">
        <f>IFERROR(__xludf.DUMMYFUNCTION("""COMPUTED_VALUE"""),"ALL")</f>
        <v>ALL</v>
      </c>
      <c r="AA129" s="40" t="str">
        <f>IFERROR(__xludf.DUMMYFUNCTION("""COMPUTED_VALUE"""),"COMMODIT.@7,44")</f>
        <v>COMMODIT.@7,44</v>
      </c>
      <c r="AB129" s="40" t="str">
        <f>IFERROR(__xludf.DUMMYFUNCTION("""COMPUTED_VALUE"""),"EUR")</f>
        <v>EUR</v>
      </c>
      <c r="AC129" s="40" t="str">
        <f>IFERROR(__xludf.DUMMYFUNCTION("""COMPUTED_VALUE"""),"(GB00B15KY989)")</f>
        <v>(GB00B15KY989)</v>
      </c>
      <c r="AD129" s="40"/>
      <c r="AE129" s="40"/>
      <c r="AF129" s="40"/>
      <c r="AG129" s="40"/>
      <c r="AH129" s="40"/>
      <c r="AI129" s="40"/>
      <c r="AJ129" s="40"/>
      <c r="AK129" s="40"/>
    </row>
    <row r="130">
      <c r="A130" s="10" t="s">
        <v>985</v>
      </c>
      <c r="B130" s="10" t="s">
        <v>986</v>
      </c>
      <c r="C130" s="10" t="s">
        <v>985</v>
      </c>
      <c r="D130" s="10" t="s">
        <v>107</v>
      </c>
      <c r="E130" s="10" t="s">
        <v>108</v>
      </c>
      <c r="F130" s="12" t="s">
        <v>987</v>
      </c>
      <c r="G130" s="10"/>
      <c r="H130" s="10" t="s">
        <v>70</v>
      </c>
      <c r="I130" s="10" t="s">
        <v>988</v>
      </c>
      <c r="J130" s="10" t="s">
        <v>70</v>
      </c>
      <c r="K130" s="10" t="s">
        <v>989</v>
      </c>
      <c r="L130" s="12" t="s">
        <v>990</v>
      </c>
      <c r="M130" s="29">
        <f t="shared" si="1"/>
        <v>-145</v>
      </c>
      <c r="N130" s="31">
        <f>IFERROR(__xludf.DUMMYFUNCTION("IF(Account!$F130&lt;&gt;"""", VALUE(REGEXREPLACE($I130, ""\,"", ""."")), """")"),1077.64)</f>
        <v>1077.64</v>
      </c>
      <c r="O130" s="33">
        <f>IF(Account!$F130&lt;&gt;"", DATEVALUE(MID($A130,4,3) &amp; LEFT($A130,3) &amp; RIGHT($A130,4)) + TIMEVALUE($B130), "")</f>
        <v>43557.68819</v>
      </c>
      <c r="P130" s="34">
        <f>IF(Account!$F130&lt;&gt;"", DATEVALUE(MID($C130,4,3) &amp; LEFT($C130,3) &amp; RIGHT($C130,4)), "")</f>
        <v>43557</v>
      </c>
      <c r="Q130" s="35" t="str">
        <f t="array" ref="Q130">IF($R130&lt;&gt;"",IFERROR(INDEX(Investment!$A:$A,MATCH($R130,Investment!$H:$H,0))),)</f>
        <v>Commodities</v>
      </c>
      <c r="R130" s="36" t="str">
        <f t="array" ref="R130">IF(AND($Y130="change",$H130="EUR"),IF(AND($AA130="Crédit",$O130=$O131),$R131,IF(AND($AA130="Débit",$O130=$O129),$R129)),IF(OR(AND(OR($E130&lt;&gt;"",$M130=""),$N130&lt;&gt;0),$A130=""),IFERROR(INDEX(Investment!$H:$H,MATCH($E130,Investment!$F:$F,0))),IFERROR(INDEX($R131:$R1119,MATCH(SUBSTITUTE($I130,"-","",1),$K131:$K1119,0)),INDEX($R131:$R1119,MATCH($K130,$K131:$K1119,0)))))</f>
        <v>ETFS All Commodities ETC</v>
      </c>
      <c r="S130" s="35" t="str">
        <f t="shared" si="2"/>
        <v>SELL</v>
      </c>
      <c r="T130" s="37">
        <f t="shared" si="3"/>
        <v>-145</v>
      </c>
      <c r="U130" s="38">
        <f t="shared" si="4"/>
        <v>7.432</v>
      </c>
      <c r="V130" s="31">
        <f t="shared" si="5"/>
        <v>1077.64</v>
      </c>
      <c r="W130" s="39" t="str">
        <f>IFERROR(__xludf.DUMMYFUNCTION(" IF(Account!$F130&lt;&gt;"""", SPLIT(Account!$F130, "" ""), """")"),"Vente")</f>
        <v>Vente</v>
      </c>
      <c r="X130" s="40">
        <f>IFERROR(__xludf.DUMMYFUNCTION("""COMPUTED_VALUE"""),145.0)</f>
        <v>145</v>
      </c>
      <c r="Y130" s="40" t="str">
        <f>IFERROR(__xludf.DUMMYFUNCTION("""COMPUTED_VALUE"""),"ETFS")</f>
        <v>ETFS</v>
      </c>
      <c r="Z130" s="40" t="str">
        <f>IFERROR(__xludf.DUMMYFUNCTION("""COMPUTED_VALUE"""),"ALL")</f>
        <v>ALL</v>
      </c>
      <c r="AA130" s="40" t="str">
        <f>IFERROR(__xludf.DUMMYFUNCTION("""COMPUTED_VALUE"""),"COMMODIT.@7,432")</f>
        <v>COMMODIT.@7,432</v>
      </c>
      <c r="AB130" s="40" t="str">
        <f>IFERROR(__xludf.DUMMYFUNCTION("""COMPUTED_VALUE"""),"EUR")</f>
        <v>EUR</v>
      </c>
      <c r="AC130" s="40" t="str">
        <f>IFERROR(__xludf.DUMMYFUNCTION("""COMPUTED_VALUE"""),"(GB00B15KY989)")</f>
        <v>(GB00B15KY989)</v>
      </c>
      <c r="AD130" s="40"/>
      <c r="AE130" s="40"/>
      <c r="AF130" s="40"/>
      <c r="AG130" s="40"/>
      <c r="AH130" s="40"/>
      <c r="AI130" s="40"/>
      <c r="AJ130" s="40"/>
      <c r="AK130" s="40"/>
    </row>
    <row r="131">
      <c r="A131" s="10" t="s">
        <v>985</v>
      </c>
      <c r="B131" s="10" t="s">
        <v>993</v>
      </c>
      <c r="C131" s="10" t="s">
        <v>985</v>
      </c>
      <c r="D131" s="10" t="s">
        <v>107</v>
      </c>
      <c r="E131" s="10" t="s">
        <v>108</v>
      </c>
      <c r="F131" s="12" t="s">
        <v>994</v>
      </c>
      <c r="G131" s="10"/>
      <c r="H131" s="10" t="s">
        <v>70</v>
      </c>
      <c r="I131" s="10" t="s">
        <v>995</v>
      </c>
      <c r="J131" s="10" t="s">
        <v>70</v>
      </c>
      <c r="K131" s="10" t="s">
        <v>996</v>
      </c>
      <c r="L131" s="12" t="s">
        <v>997</v>
      </c>
      <c r="M131" s="29">
        <f t="shared" si="1"/>
        <v>-220</v>
      </c>
      <c r="N131" s="31">
        <f>IFERROR(__xludf.DUMMYFUNCTION("IF(Account!$F131&lt;&gt;"""", VALUE(REGEXREPLACE($I131, ""\,"", ""."")), """")"),1632.4)</f>
        <v>1632.4</v>
      </c>
      <c r="O131" s="33">
        <f>IF(Account!$F131&lt;&gt;"", DATEVALUE(MID($A131,4,3) &amp; LEFT($A131,3) &amp; RIGHT($A131,4)) + TIMEVALUE($B131), "")</f>
        <v>43557.65903</v>
      </c>
      <c r="P131" s="34">
        <f>IF(Account!$F131&lt;&gt;"", DATEVALUE(MID($C131,4,3) &amp; LEFT($C131,3) &amp; RIGHT($C131,4)), "")</f>
        <v>43557</v>
      </c>
      <c r="Q131" s="35" t="str">
        <f t="array" ref="Q131">IF($R131&lt;&gt;"",IFERROR(INDEX(Investment!$A:$A,MATCH($R131,Investment!$H:$H,0))),)</f>
        <v>Commodities</v>
      </c>
      <c r="R131" s="36" t="str">
        <f t="array" ref="R131">IF(AND($Y131="change",$H131="EUR"),IF(AND($AA131="Crédit",$O131=$O132),$R132,IF(AND($AA131="Débit",$O131=$O130),$R130)),IF(OR(AND(OR($E131&lt;&gt;"",$M131=""),$N131&lt;&gt;0),$A131=""),IFERROR(INDEX(Investment!$H:$H,MATCH($E131,Investment!$F:$F,0))),IFERROR(INDEX($R132:$R1119,MATCH(SUBSTITUTE($I131,"-","",1),$K132:$K1119,0)),INDEX($R132:$R1119,MATCH($K131,$K132:$K1119,0)))))</f>
        <v>ETFS All Commodities ETC</v>
      </c>
      <c r="S131" s="35" t="str">
        <f t="shared" si="2"/>
        <v>SELL</v>
      </c>
      <c r="T131" s="37">
        <f t="shared" si="3"/>
        <v>-220</v>
      </c>
      <c r="U131" s="38">
        <f t="shared" si="4"/>
        <v>7.42</v>
      </c>
      <c r="V131" s="31">
        <f t="shared" si="5"/>
        <v>1632.4</v>
      </c>
      <c r="W131" s="39" t="str">
        <f>IFERROR(__xludf.DUMMYFUNCTION(" IF(Account!$F131&lt;&gt;"""", SPLIT(Account!$F131, "" ""), """")"),"Vente")</f>
        <v>Vente</v>
      </c>
      <c r="X131" s="40">
        <f>IFERROR(__xludf.DUMMYFUNCTION("""COMPUTED_VALUE"""),220.0)</f>
        <v>220</v>
      </c>
      <c r="Y131" s="40" t="str">
        <f>IFERROR(__xludf.DUMMYFUNCTION("""COMPUTED_VALUE"""),"ETFS")</f>
        <v>ETFS</v>
      </c>
      <c r="Z131" s="40" t="str">
        <f>IFERROR(__xludf.DUMMYFUNCTION("""COMPUTED_VALUE"""),"ALL")</f>
        <v>ALL</v>
      </c>
      <c r="AA131" s="40" t="str">
        <f>IFERROR(__xludf.DUMMYFUNCTION("""COMPUTED_VALUE"""),"COMMODIT.@7,42")</f>
        <v>COMMODIT.@7,42</v>
      </c>
      <c r="AB131" s="40" t="str">
        <f>IFERROR(__xludf.DUMMYFUNCTION("""COMPUTED_VALUE"""),"EUR")</f>
        <v>EUR</v>
      </c>
      <c r="AC131" s="40" t="str">
        <f>IFERROR(__xludf.DUMMYFUNCTION("""COMPUTED_VALUE"""),"(GB00B15KY989)")</f>
        <v>(GB00B15KY989)</v>
      </c>
      <c r="AD131" s="40"/>
      <c r="AE131" s="40"/>
      <c r="AF131" s="40"/>
      <c r="AG131" s="40"/>
      <c r="AH131" s="40"/>
      <c r="AI131" s="40"/>
      <c r="AJ131" s="40"/>
      <c r="AK131" s="40"/>
    </row>
    <row r="132">
      <c r="A132" s="10" t="s">
        <v>985</v>
      </c>
      <c r="B132" s="10" t="s">
        <v>1000</v>
      </c>
      <c r="C132" s="10" t="s">
        <v>985</v>
      </c>
      <c r="D132" s="10" t="s">
        <v>107</v>
      </c>
      <c r="E132" s="10" t="s">
        <v>108</v>
      </c>
      <c r="F132" s="12" t="s">
        <v>1001</v>
      </c>
      <c r="G132" s="10"/>
      <c r="H132" s="10" t="s">
        <v>70</v>
      </c>
      <c r="I132" s="10" t="s">
        <v>1002</v>
      </c>
      <c r="J132" s="10" t="s">
        <v>70</v>
      </c>
      <c r="K132" s="10" t="s">
        <v>1003</v>
      </c>
      <c r="L132" s="12" t="s">
        <v>1004</v>
      </c>
      <c r="M132" s="29">
        <f t="shared" si="1"/>
        <v>-200</v>
      </c>
      <c r="N132" s="31">
        <f>IFERROR(__xludf.DUMMYFUNCTION("IF(Account!$F132&lt;&gt;"""", VALUE(REGEXREPLACE($I132, ""\,"", ""."")), """")"),1484.0)</f>
        <v>1484</v>
      </c>
      <c r="O132" s="33">
        <f>IF(Account!$F132&lt;&gt;"", DATEVALUE(MID($A132,4,3) &amp; LEFT($A132,3) &amp; RIGHT($A132,4)) + TIMEVALUE($B132), "")</f>
        <v>43557.43403</v>
      </c>
      <c r="P132" s="34">
        <f>IF(Account!$F132&lt;&gt;"", DATEVALUE(MID($C132,4,3) &amp; LEFT($C132,3) &amp; RIGHT($C132,4)), "")</f>
        <v>43557</v>
      </c>
      <c r="Q132" s="35" t="str">
        <f t="array" ref="Q132">IF($R132&lt;&gt;"",IFERROR(INDEX(Investment!$A:$A,MATCH($R132,Investment!$H:$H,0))),)</f>
        <v>Commodities</v>
      </c>
      <c r="R132" s="36" t="str">
        <f t="array" ref="R132">IF(AND($Y132="change",$H132="EUR"),IF(AND($AA132="Crédit",$O132=$O133),$R133,IF(AND($AA132="Débit",$O132=$O131),$R131)),IF(OR(AND(OR($E132&lt;&gt;"",$M132=""),$N132&lt;&gt;0),$A132=""),IFERROR(INDEX(Investment!$H:$H,MATCH($E132,Investment!$F:$F,0))),IFERROR(INDEX($R133:$R1119,MATCH(SUBSTITUTE($I132,"-","",1),$K133:$K1119,0)),INDEX($R133:$R1119,MATCH($K132,$K133:$K1119,0)))))</f>
        <v>ETFS All Commodities ETC</v>
      </c>
      <c r="S132" s="35" t="str">
        <f t="shared" si="2"/>
        <v>SELL</v>
      </c>
      <c r="T132" s="37">
        <f t="shared" si="3"/>
        <v>-200</v>
      </c>
      <c r="U132" s="38">
        <f t="shared" si="4"/>
        <v>7.42</v>
      </c>
      <c r="V132" s="31">
        <f t="shared" si="5"/>
        <v>1484</v>
      </c>
      <c r="W132" s="39" t="str">
        <f>IFERROR(__xludf.DUMMYFUNCTION(" IF(Account!$F132&lt;&gt;"""", SPLIT(Account!$F132, "" ""), """")"),"Vente")</f>
        <v>Vente</v>
      </c>
      <c r="X132" s="40">
        <f>IFERROR(__xludf.DUMMYFUNCTION("""COMPUTED_VALUE"""),200.0)</f>
        <v>200</v>
      </c>
      <c r="Y132" s="40" t="str">
        <f>IFERROR(__xludf.DUMMYFUNCTION("""COMPUTED_VALUE"""),"ETFS")</f>
        <v>ETFS</v>
      </c>
      <c r="Z132" s="40" t="str">
        <f>IFERROR(__xludf.DUMMYFUNCTION("""COMPUTED_VALUE"""),"ALL")</f>
        <v>ALL</v>
      </c>
      <c r="AA132" s="40" t="str">
        <f>IFERROR(__xludf.DUMMYFUNCTION("""COMPUTED_VALUE"""),"COMMODIT.@7,42")</f>
        <v>COMMODIT.@7,42</v>
      </c>
      <c r="AB132" s="40" t="str">
        <f>IFERROR(__xludf.DUMMYFUNCTION("""COMPUTED_VALUE"""),"EUR")</f>
        <v>EUR</v>
      </c>
      <c r="AC132" s="40" t="str">
        <f>IFERROR(__xludf.DUMMYFUNCTION("""COMPUTED_VALUE"""),"(GB00B15KY989)")</f>
        <v>(GB00B15KY989)</v>
      </c>
      <c r="AD132" s="40"/>
      <c r="AE132" s="40"/>
      <c r="AF132" s="40"/>
      <c r="AG132" s="40"/>
      <c r="AH132" s="40"/>
      <c r="AI132" s="40"/>
      <c r="AJ132" s="40"/>
      <c r="AK132" s="40"/>
    </row>
    <row r="133">
      <c r="A133" s="10" t="s">
        <v>1007</v>
      </c>
      <c r="B133" s="10" t="s">
        <v>1008</v>
      </c>
      <c r="C133" s="10" t="s">
        <v>1009</v>
      </c>
      <c r="D133" s="10"/>
      <c r="E133" s="10"/>
      <c r="F133" s="12" t="s">
        <v>195</v>
      </c>
      <c r="G133" s="10"/>
      <c r="H133" s="10" t="s">
        <v>70</v>
      </c>
      <c r="I133" s="10" t="s">
        <v>1010</v>
      </c>
      <c r="J133" s="10" t="s">
        <v>70</v>
      </c>
      <c r="K133" s="10" t="s">
        <v>1011</v>
      </c>
      <c r="L133" s="12"/>
      <c r="M133" s="29" t="str">
        <f t="shared" si="1"/>
        <v/>
      </c>
      <c r="N133" s="31">
        <f>IFERROR(__xludf.DUMMYFUNCTION("IF(Account!$F133&lt;&gt;"""", VALUE(REGEXREPLACE($I133, ""\,"", ""."")), """")"),-618.92)</f>
        <v>-618.92</v>
      </c>
      <c r="O133" s="33">
        <f>IF(Account!$F133&lt;&gt;"", DATEVALUE(MID($A133,4,3) &amp; LEFT($A133,3) &amp; RIGHT($A133,4)) + TIMEVALUE($B133), "")</f>
        <v>43556.71458</v>
      </c>
      <c r="P133" s="34">
        <f>IF(Account!$F133&lt;&gt;"", DATEVALUE(MID($C133,4,3) &amp; LEFT($C133,3) &amp; RIGHT($C133,4)), "")</f>
        <v>43555</v>
      </c>
      <c r="Q133" s="35" t="str">
        <f t="array" ref="Q133">IF($R133&lt;&gt;"",IFERROR(INDEX(Investment!$A:$A,MATCH($R133,Investment!$H:$H,0))),)</f>
        <v/>
      </c>
      <c r="R133" s="36" t="str">
        <f t="array" ref="R133">IF(AND($Y133="change",$H133="EUR"),IF(AND($AA133="Crédit",$O133=$O134),$R134,IF(AND($AA133="Débit",$O133=$O132),$R132)),IF(OR(AND(OR($E133&lt;&gt;"",$M133=""),$N133&lt;&gt;0),$A133=""),IFERROR(INDEX(Investment!$H:$H,MATCH($E133,Investment!$F:$F,0))),IFERROR(INDEX($R134:$R1119,MATCH(SUBSTITUTE($I133,"-","",1),$K134:$K1119,0)),INDEX($R134:$R1119,MATCH($K133,$K134:$K1119,0)))))</f>
        <v/>
      </c>
      <c r="S133" s="35" t="str">
        <f t="shared" si="2"/>
        <v>COST</v>
      </c>
      <c r="T133" s="37" t="str">
        <f t="shared" si="3"/>
        <v/>
      </c>
      <c r="U133" s="38" t="str">
        <f t="shared" si="4"/>
        <v/>
      </c>
      <c r="V133" s="31">
        <f t="shared" si="5"/>
        <v>-618.92</v>
      </c>
      <c r="W133" s="39" t="str">
        <f>IFERROR(__xludf.DUMMYFUNCTION(" IF(Account!$F133&lt;&gt;"""", SPLIT(Account!$F133, "" ""), """")"),"Intérêts")</f>
        <v>Intérêts</v>
      </c>
      <c r="X133" s="40" t="str">
        <f>IFERROR(__xludf.DUMMYFUNCTION("""COMPUTED_VALUE"""),"débiteurs")</f>
        <v>débiteurs</v>
      </c>
      <c r="Y133" s="40" t="str">
        <f>IFERROR(__xludf.DUMMYFUNCTION("""COMPUTED_VALUE"""),"mensuels")</f>
        <v>mensuels</v>
      </c>
      <c r="Z133" s="40" t="str">
        <f>IFERROR(__xludf.DUMMYFUNCTION("""COMPUTED_VALUE"""),"(Débit")</f>
        <v>(Débit</v>
      </c>
      <c r="AA133" s="40" t="str">
        <f>IFERROR(__xludf.DUMMYFUNCTION("""COMPUTED_VALUE"""),"Argent)")</f>
        <v>Argent)</v>
      </c>
      <c r="AB133" s="40"/>
      <c r="AC133" s="40"/>
      <c r="AD133" s="40"/>
      <c r="AE133" s="40"/>
      <c r="AF133" s="40"/>
      <c r="AG133" s="40"/>
      <c r="AH133" s="40"/>
      <c r="AI133" s="40"/>
      <c r="AJ133" s="40"/>
      <c r="AK133" s="40"/>
    </row>
    <row r="134">
      <c r="A134" s="10" t="s">
        <v>1007</v>
      </c>
      <c r="B134" s="10" t="s">
        <v>1014</v>
      </c>
      <c r="C134" s="10" t="s">
        <v>1007</v>
      </c>
      <c r="D134" s="10"/>
      <c r="E134" s="10"/>
      <c r="F134" s="12" t="s">
        <v>188</v>
      </c>
      <c r="G134" s="10"/>
      <c r="H134" s="10" t="s">
        <v>70</v>
      </c>
      <c r="I134" s="10" t="s">
        <v>487</v>
      </c>
      <c r="J134" s="10" t="s">
        <v>70</v>
      </c>
      <c r="K134" s="10" t="s">
        <v>1015</v>
      </c>
      <c r="L134" s="12"/>
      <c r="M134" s="29" t="str">
        <f t="shared" si="1"/>
        <v/>
      </c>
      <c r="N134" s="31">
        <f>IFERROR(__xludf.DUMMYFUNCTION("IF(Account!$F134&lt;&gt;"""", VALUE(REGEXREPLACE($I134, ""\,"", ""."")), """")"),-500.0)</f>
        <v>-500</v>
      </c>
      <c r="O134" s="33">
        <f>IF(Account!$F134&lt;&gt;"", DATEVALUE(MID($A134,4,3) &amp; LEFT($A134,3) &amp; RIGHT($A134,4)) + TIMEVALUE($B134), "")</f>
        <v>43556.47292</v>
      </c>
      <c r="P134" s="34">
        <f>IF(Account!$F134&lt;&gt;"", DATEVALUE(MID($C134,4,3) &amp; LEFT($C134,3) &amp; RIGHT($C134,4)), "")</f>
        <v>43556</v>
      </c>
      <c r="Q134" s="35" t="str">
        <f t="array" ref="Q134">IF($R134&lt;&gt;"",IFERROR(INDEX(Investment!$A:$A,MATCH($R134,Investment!$H:$H,0))),)</f>
        <v/>
      </c>
      <c r="R134" s="36" t="str">
        <f t="array" ref="R134">IF(AND($Y134="change",$H134="EUR"),IF(AND($AA134="Crédit",$O134=$O135),$R135,IF(AND($AA134="Débit",$O134=$O133),$R133)),IF(OR(AND(OR($E134&lt;&gt;"",$M134=""),$N134&lt;&gt;0),$A134=""),IFERROR(INDEX(Investment!$H:$H,MATCH($E134,Investment!$F:$F,0))),IFERROR(INDEX($R135:$R1119,MATCH(SUBSTITUTE($I134,"-","",1),$K135:$K1119,0)),INDEX($R135:$R1119,MATCH($K134,$K135:$K1119,0)))))</f>
        <v/>
      </c>
      <c r="S134" s="35" t="str">
        <f t="shared" si="2"/>
        <v>APPROVISIONNEMENT</v>
      </c>
      <c r="T134" s="37" t="str">
        <f t="shared" si="3"/>
        <v/>
      </c>
      <c r="U134" s="38" t="str">
        <f t="shared" si="4"/>
        <v/>
      </c>
      <c r="V134" s="31">
        <f t="shared" si="5"/>
        <v>-500</v>
      </c>
      <c r="W134" s="39" t="str">
        <f>IFERROR(__xludf.DUMMYFUNCTION(" IF(Account!$F134&lt;&gt;"""", SPLIT(Account!$F134, "" ""), """")"),"Retrait")</f>
        <v>Retrait</v>
      </c>
      <c r="X134" s="40" t="str">
        <f>IFERROR(__xludf.DUMMYFUNCTION("""COMPUTED_VALUE"""),"de")</f>
        <v>de</v>
      </c>
      <c r="Y134" s="40" t="str">
        <f>IFERROR(__xludf.DUMMYFUNCTION("""COMPUTED_VALUE"""),"fonds")</f>
        <v>fonds</v>
      </c>
      <c r="Z134" s="40"/>
      <c r="AA134" s="40"/>
      <c r="AB134" s="40"/>
      <c r="AC134" s="40"/>
      <c r="AD134" s="40"/>
      <c r="AE134" s="40"/>
      <c r="AF134" s="40"/>
      <c r="AG134" s="40"/>
      <c r="AH134" s="40"/>
      <c r="AI134" s="40"/>
      <c r="AJ134" s="40"/>
      <c r="AK134" s="40"/>
    </row>
    <row r="135">
      <c r="A135" s="10" t="s">
        <v>1018</v>
      </c>
      <c r="B135" s="10" t="s">
        <v>1019</v>
      </c>
      <c r="C135" s="10" t="s">
        <v>1018</v>
      </c>
      <c r="D135" s="10" t="s">
        <v>1020</v>
      </c>
      <c r="E135" s="10" t="s">
        <v>84</v>
      </c>
      <c r="F135" s="12" t="s">
        <v>73</v>
      </c>
      <c r="G135" s="10" t="s">
        <v>1021</v>
      </c>
      <c r="H135" s="10" t="s">
        <v>74</v>
      </c>
      <c r="I135" s="10" t="s">
        <v>1022</v>
      </c>
      <c r="J135" s="10" t="s">
        <v>74</v>
      </c>
      <c r="K135" s="10" t="s">
        <v>76</v>
      </c>
      <c r="L135" s="12" t="s">
        <v>1023</v>
      </c>
      <c r="M135" s="29">
        <f t="shared" si="1"/>
        <v>0</v>
      </c>
      <c r="N135" s="31">
        <f>IFERROR(__xludf.DUMMYFUNCTION("IF(Account!$F135&lt;&gt;"""", VALUE(REGEXREPLACE($I135, ""\,"", ""."")), """")"),-61488.7)</f>
        <v>-61488.7</v>
      </c>
      <c r="O135" s="33">
        <f>IF(Account!$F135&lt;&gt;"", DATEVALUE(MID($A135,4,3) &amp; LEFT($A135,3) &amp; RIGHT($A135,4)) + TIMEVALUE($B135), "")</f>
        <v>43549.43264</v>
      </c>
      <c r="P135" s="34">
        <f>IF(Account!$F135&lt;&gt;"", DATEVALUE(MID($C135,4,3) &amp; LEFT($C135,3) &amp; RIGHT($C135,4)), "")</f>
        <v>43549</v>
      </c>
      <c r="Q135" s="35" t="str">
        <f t="array" ref="Q135">IF($R135&lt;&gt;"",IFERROR(INDEX(Investment!$A:$A,MATCH($R135,Investment!$H:$H,0))),)</f>
        <v>Long term US bonds (20-25 year)</v>
      </c>
      <c r="R135" s="36" t="str">
        <f t="array" ref="R135">IF(AND($Y135="change",$H135="EUR"),IF(AND($AA135="Crédit",$O135=$O136),$R136,IF(AND($AA135="Débit",$O135=$O134),$R134)),IF(OR(AND(OR($E135&lt;&gt;"",$M135=""),$N135&lt;&gt;0),$A135=""),IFERROR(INDEX(Investment!$H:$H,MATCH($E135,Investment!$F:$F,0))),IFERROR(INDEX($R136:$R1119,MATCH(SUBSTITUTE($I135,"-","",1),$K136:$K1119,0)),INDEX($R136:$R1119,MATCH($K135,$K136:$K1119,0)))))</f>
        <v>iShares Treasury Bond 20+ UCITS</v>
      </c>
      <c r="S135" s="35" t="str">
        <f t="shared" si="2"/>
        <v>SELL</v>
      </c>
      <c r="T135" s="37">
        <f t="shared" si="3"/>
        <v>-13195</v>
      </c>
      <c r="U135" s="38">
        <f t="shared" si="4"/>
        <v>4.113221675</v>
      </c>
      <c r="V135" s="31">
        <f t="shared" si="5"/>
        <v>54273.96</v>
      </c>
      <c r="W135" s="39" t="str">
        <f>IFERROR(__xludf.DUMMYFUNCTION(" IF(Account!$F135&lt;&gt;"""", SPLIT(Account!$F135, "" ""), """")"),"Opération")</f>
        <v>Opération</v>
      </c>
      <c r="X135" s="40" t="str">
        <f>IFERROR(__xludf.DUMMYFUNCTION("""COMPUTED_VALUE"""),"de")</f>
        <v>de</v>
      </c>
      <c r="Y135" s="40" t="str">
        <f>IFERROR(__xludf.DUMMYFUNCTION("""COMPUTED_VALUE"""),"change")</f>
        <v>change</v>
      </c>
      <c r="Z135" s="40" t="str">
        <f>IFERROR(__xludf.DUMMYFUNCTION("""COMPUTED_VALUE"""),"-")</f>
        <v>-</v>
      </c>
      <c r="AA135" s="40" t="str">
        <f>IFERROR(__xludf.DUMMYFUNCTION("""COMPUTED_VALUE"""),"Débit")</f>
        <v>Débit</v>
      </c>
      <c r="AB135" s="40"/>
      <c r="AC135" s="40"/>
      <c r="AD135" s="40"/>
      <c r="AE135" s="40"/>
      <c r="AF135" s="40"/>
      <c r="AG135" s="40"/>
      <c r="AH135" s="40"/>
      <c r="AI135" s="40"/>
      <c r="AJ135" s="40"/>
      <c r="AK135" s="40"/>
    </row>
    <row r="136">
      <c r="A136" s="10" t="s">
        <v>1018</v>
      </c>
      <c r="B136" s="10" t="s">
        <v>1019</v>
      </c>
      <c r="C136" s="10" t="s">
        <v>1018</v>
      </c>
      <c r="D136" s="10" t="s">
        <v>1020</v>
      </c>
      <c r="E136" s="10" t="s">
        <v>84</v>
      </c>
      <c r="F136" s="12" t="s">
        <v>69</v>
      </c>
      <c r="G136" s="10"/>
      <c r="H136" s="10" t="s">
        <v>70</v>
      </c>
      <c r="I136" s="10" t="s">
        <v>1025</v>
      </c>
      <c r="J136" s="10" t="s">
        <v>70</v>
      </c>
      <c r="K136" s="10" t="s">
        <v>1026</v>
      </c>
      <c r="L136" s="12" t="s">
        <v>1023</v>
      </c>
      <c r="M136" s="29">
        <f t="shared" si="1"/>
        <v>0</v>
      </c>
      <c r="N136" s="31">
        <f>IFERROR(__xludf.DUMMYFUNCTION("IF(Account!$F136&lt;&gt;"""", VALUE(REGEXREPLACE($I136, ""\,"", ""."")), """")"),54273.96)</f>
        <v>54273.96</v>
      </c>
      <c r="O136" s="33">
        <f>IF(Account!$F136&lt;&gt;"", DATEVALUE(MID($A136,4,3) &amp; LEFT($A136,3) &amp; RIGHT($A136,4)) + TIMEVALUE($B136), "")</f>
        <v>43549.43264</v>
      </c>
      <c r="P136" s="34">
        <f>IF(Account!$F136&lt;&gt;"", DATEVALUE(MID($C136,4,3) &amp; LEFT($C136,3) &amp; RIGHT($C136,4)), "")</f>
        <v>43549</v>
      </c>
      <c r="Q136" s="35" t="str">
        <f t="array" ref="Q136">IF($R136&lt;&gt;"",IFERROR(INDEX(Investment!$A:$A,MATCH($R136,Investment!$H:$H,0))),)</f>
        <v>Long term US bonds (20-25 year)</v>
      </c>
      <c r="R136" s="36" t="str">
        <f t="array" ref="R136">IF(AND($Y136="change",$H136="EUR"),IF(AND($AA136="Crédit",$O136=$O137),$R137,IF(AND($AA136="Débit",$O136=$O135),$R135)),IF(OR(AND(OR($E136&lt;&gt;"",$M136=""),$N136&lt;&gt;0),$A136=""),IFERROR(INDEX(Investment!$H:$H,MATCH($E136,Investment!$F:$F,0))),IFERROR(INDEX($R137:$R1119,MATCH(SUBSTITUTE($I136,"-","",1),$K137:$K1119,0)),INDEX($R137:$R1119,MATCH($K136,$K137:$K1119,0)))))</f>
        <v>iShares Treasury Bond 20+ UCITS</v>
      </c>
      <c r="S136" s="35" t="str">
        <f t="shared" si="2"/>
        <v>SELL</v>
      </c>
      <c r="T136" s="37">
        <f t="shared" si="3"/>
        <v>-13195</v>
      </c>
      <c r="U136" s="38">
        <f t="shared" si="4"/>
        <v>4.113221675</v>
      </c>
      <c r="V136" s="31">
        <f t="shared" si="5"/>
        <v>54273.96</v>
      </c>
      <c r="W136" s="39" t="str">
        <f>IFERROR(__xludf.DUMMYFUNCTION(" IF(Account!$F136&lt;&gt;"""", SPLIT(Account!$F136, "" ""), """")"),"Operation")</f>
        <v>Operation</v>
      </c>
      <c r="X136" s="40" t="str">
        <f>IFERROR(__xludf.DUMMYFUNCTION("""COMPUTED_VALUE"""),"de")</f>
        <v>de</v>
      </c>
      <c r="Y136" s="40" t="str">
        <f>IFERROR(__xludf.DUMMYFUNCTION("""COMPUTED_VALUE"""),"change")</f>
        <v>change</v>
      </c>
      <c r="Z136" s="40" t="str">
        <f>IFERROR(__xludf.DUMMYFUNCTION("""COMPUTED_VALUE"""),"-")</f>
        <v>-</v>
      </c>
      <c r="AA136" s="40" t="str">
        <f>IFERROR(__xludf.DUMMYFUNCTION("""COMPUTED_VALUE"""),"Crédit")</f>
        <v>Crédit</v>
      </c>
      <c r="AB136" s="40"/>
      <c r="AC136" s="40"/>
      <c r="AD136" s="40"/>
      <c r="AE136" s="40"/>
      <c r="AF136" s="40"/>
      <c r="AG136" s="40"/>
      <c r="AH136" s="40"/>
      <c r="AI136" s="40"/>
      <c r="AJ136" s="40"/>
      <c r="AK136" s="40"/>
    </row>
    <row r="137">
      <c r="A137" s="10" t="s">
        <v>1018</v>
      </c>
      <c r="B137" s="10" t="s">
        <v>1019</v>
      </c>
      <c r="C137" s="10" t="s">
        <v>1018</v>
      </c>
      <c r="D137" s="10" t="s">
        <v>1020</v>
      </c>
      <c r="E137" s="10" t="s">
        <v>84</v>
      </c>
      <c r="F137" s="12" t="s">
        <v>222</v>
      </c>
      <c r="G137" s="10"/>
      <c r="H137" s="10" t="s">
        <v>70</v>
      </c>
      <c r="I137" s="10" t="s">
        <v>223</v>
      </c>
      <c r="J137" s="10" t="s">
        <v>70</v>
      </c>
      <c r="K137" s="10" t="s">
        <v>1028</v>
      </c>
      <c r="L137" s="12" t="s">
        <v>1023</v>
      </c>
      <c r="M137" s="29" t="str">
        <f t="shared" si="1"/>
        <v/>
      </c>
      <c r="N137" s="31">
        <f>IFERROR(__xludf.DUMMYFUNCTION("IF(Account!$F137&lt;&gt;"""", VALUE(REGEXREPLACE($I137, ""\,"", ""."")), """")"),-2.0)</f>
        <v>-2</v>
      </c>
      <c r="O137" s="33">
        <f>IF(Account!$F137&lt;&gt;"", DATEVALUE(MID($A137,4,3) &amp; LEFT($A137,3) &amp; RIGHT($A137,4)) + TIMEVALUE($B137), "")</f>
        <v>43549.43264</v>
      </c>
      <c r="P137" s="34">
        <f>IF(Account!$F137&lt;&gt;"", DATEVALUE(MID($C137,4,3) &amp; LEFT($C137,3) &amp; RIGHT($C137,4)), "")</f>
        <v>43549</v>
      </c>
      <c r="Q137" s="35" t="str">
        <f t="array" ref="Q137">IF($R137&lt;&gt;"",IFERROR(INDEX(Investment!$A:$A,MATCH($R137,Investment!$H:$H,0))),)</f>
        <v>Long term US bonds (20-25 year)</v>
      </c>
      <c r="R137" s="36" t="str">
        <f t="array" ref="R137">IF(AND($Y137="change",$H137="EUR"),IF(AND($AA137="Crédit",$O137=$O138),$R138,IF(AND($AA137="Débit",$O137=$O136),$R136)),IF(OR(AND(OR($E137&lt;&gt;"",$M137=""),$N137&lt;&gt;0),$A137=""),IFERROR(INDEX(Investment!$H:$H,MATCH($E137,Investment!$F:$F,0))),IFERROR(INDEX($R138:$R1119,MATCH(SUBSTITUTE($I137,"-","",1),$K138:$K1119,0)),INDEX($R138:$R1119,MATCH($K137,$K138:$K1119,0)))))</f>
        <v>iShares Treasury Bond 20+ UCITS</v>
      </c>
      <c r="S137" s="35" t="str">
        <f t="shared" si="2"/>
        <v>COST</v>
      </c>
      <c r="T137" s="37" t="str">
        <f t="shared" si="3"/>
        <v/>
      </c>
      <c r="U137" s="38" t="str">
        <f t="shared" si="4"/>
        <v/>
      </c>
      <c r="V137" s="31">
        <f t="shared" si="5"/>
        <v>-12.88</v>
      </c>
      <c r="W137" s="39" t="str">
        <f>IFERROR(__xludf.DUMMYFUNCTION(" IF(Account!$F137&lt;&gt;"""", SPLIT(Account!$F137, "" ""), """")"),"Frais")</f>
        <v>Frais</v>
      </c>
      <c r="X137" s="40" t="str">
        <f>IFERROR(__xludf.DUMMYFUNCTION("""COMPUTED_VALUE"""),"de")</f>
        <v>de</v>
      </c>
      <c r="Y137" s="40" t="str">
        <f>IFERROR(__xludf.DUMMYFUNCTION("""COMPUTED_VALUE"""),"courtage")</f>
        <v>courtage</v>
      </c>
      <c r="Z137" s="40"/>
      <c r="AA137" s="40"/>
      <c r="AB137" s="40"/>
      <c r="AC137" s="40"/>
      <c r="AD137" s="40"/>
      <c r="AE137" s="40"/>
      <c r="AF137" s="40"/>
      <c r="AG137" s="40"/>
      <c r="AH137" s="40"/>
      <c r="AI137" s="40"/>
      <c r="AJ137" s="40"/>
      <c r="AK137" s="40"/>
    </row>
    <row r="138">
      <c r="A138" s="10" t="s">
        <v>1018</v>
      </c>
      <c r="B138" s="10" t="s">
        <v>1019</v>
      </c>
      <c r="C138" s="10" t="s">
        <v>1018</v>
      </c>
      <c r="D138" s="10" t="s">
        <v>1020</v>
      </c>
      <c r="E138" s="10" t="s">
        <v>84</v>
      </c>
      <c r="F138" s="12" t="s">
        <v>222</v>
      </c>
      <c r="G138" s="10"/>
      <c r="H138" s="10" t="s">
        <v>70</v>
      </c>
      <c r="I138" s="10" t="s">
        <v>1031</v>
      </c>
      <c r="J138" s="10" t="s">
        <v>70</v>
      </c>
      <c r="K138" s="10" t="s">
        <v>1032</v>
      </c>
      <c r="L138" s="12" t="s">
        <v>1023</v>
      </c>
      <c r="M138" s="29" t="str">
        <f t="shared" si="1"/>
        <v/>
      </c>
      <c r="N138" s="31">
        <f>IFERROR(__xludf.DUMMYFUNCTION("IF(Account!$F138&lt;&gt;"""", VALUE(REGEXREPLACE($I138, ""\,"", ""."")), """")"),-10.88)</f>
        <v>-10.88</v>
      </c>
      <c r="O138" s="33">
        <f>IF(Account!$F138&lt;&gt;"", DATEVALUE(MID($A138,4,3) &amp; LEFT($A138,3) &amp; RIGHT($A138,4)) + TIMEVALUE($B138), "")</f>
        <v>43549.43264</v>
      </c>
      <c r="P138" s="34">
        <f>IF(Account!$F138&lt;&gt;"", DATEVALUE(MID($C138,4,3) &amp; LEFT($C138,3) &amp; RIGHT($C138,4)), "")</f>
        <v>43549</v>
      </c>
      <c r="Q138" s="35" t="str">
        <f t="array" ref="Q138">IF($R138&lt;&gt;"",IFERROR(INDEX(Investment!$A:$A,MATCH($R138,Investment!$H:$H,0))),)</f>
        <v>Long term US bonds (20-25 year)</v>
      </c>
      <c r="R138" s="36" t="str">
        <f t="array" ref="R138">IF(AND($Y138="change",$H138="EUR"),IF(AND($AA138="Crédit",$O138=$O139),$R139,IF(AND($AA138="Débit",$O138=$O137),$R137)),IF(OR(AND(OR($E138&lt;&gt;"",$M138=""),$N138&lt;&gt;0),$A138=""),IFERROR(INDEX(Investment!$H:$H,MATCH($E138,Investment!$F:$F,0))),IFERROR(INDEX($R139:$R1119,MATCH(SUBSTITUTE($I138,"-","",1),$K139:$K1119,0)),INDEX($R139:$R1119,MATCH($K138,$K139:$K1119,0)))))</f>
        <v>iShares Treasury Bond 20+ UCITS</v>
      </c>
      <c r="S138" s="35" t="str">
        <f t="shared" si="2"/>
        <v>COST</v>
      </c>
      <c r="T138" s="37" t="str">
        <f t="shared" si="3"/>
        <v/>
      </c>
      <c r="U138" s="38" t="str">
        <f t="shared" si="4"/>
        <v/>
      </c>
      <c r="V138" s="31">
        <f t="shared" si="5"/>
        <v>-12.88</v>
      </c>
      <c r="W138" s="39" t="str">
        <f>IFERROR(__xludf.DUMMYFUNCTION(" IF(Account!$F138&lt;&gt;"""", SPLIT(Account!$F138, "" ""), """")"),"Frais")</f>
        <v>Frais</v>
      </c>
      <c r="X138" s="40" t="str">
        <f>IFERROR(__xludf.DUMMYFUNCTION("""COMPUTED_VALUE"""),"de")</f>
        <v>de</v>
      </c>
      <c r="Y138" s="40" t="str">
        <f>IFERROR(__xludf.DUMMYFUNCTION("""COMPUTED_VALUE"""),"courtage")</f>
        <v>courtage</v>
      </c>
      <c r="Z138" s="40"/>
      <c r="AA138" s="40"/>
      <c r="AB138" s="40"/>
      <c r="AC138" s="40"/>
      <c r="AD138" s="40"/>
      <c r="AE138" s="40"/>
      <c r="AF138" s="40"/>
      <c r="AG138" s="40"/>
      <c r="AH138" s="40"/>
      <c r="AI138" s="40"/>
      <c r="AJ138" s="40"/>
      <c r="AK138" s="40"/>
    </row>
    <row r="139">
      <c r="A139" s="10" t="s">
        <v>1018</v>
      </c>
      <c r="B139" s="10" t="s">
        <v>1019</v>
      </c>
      <c r="C139" s="10" t="s">
        <v>1018</v>
      </c>
      <c r="D139" s="10" t="s">
        <v>1020</v>
      </c>
      <c r="E139" s="10" t="s">
        <v>84</v>
      </c>
      <c r="F139" s="12" t="s">
        <v>1034</v>
      </c>
      <c r="G139" s="10"/>
      <c r="H139" s="10" t="s">
        <v>74</v>
      </c>
      <c r="I139" s="10" t="s">
        <v>1036</v>
      </c>
      <c r="J139" s="10" t="s">
        <v>74</v>
      </c>
      <c r="K139" s="10" t="s">
        <v>1036</v>
      </c>
      <c r="L139" s="12" t="s">
        <v>1023</v>
      </c>
      <c r="M139" s="29">
        <f t="shared" si="1"/>
        <v>-13195</v>
      </c>
      <c r="N139" s="31">
        <f>IFERROR(__xludf.DUMMYFUNCTION("IF(Account!$F139&lt;&gt;"""", VALUE(REGEXREPLACE($I139, ""\,"", ""."")), """")"),61488.7)</f>
        <v>61488.7</v>
      </c>
      <c r="O139" s="33">
        <f>IF(Account!$F139&lt;&gt;"", DATEVALUE(MID($A139,4,3) &amp; LEFT($A139,3) &amp; RIGHT($A139,4)) + TIMEVALUE($B139), "")</f>
        <v>43549.43264</v>
      </c>
      <c r="P139" s="34">
        <f>IF(Account!$F139&lt;&gt;"", DATEVALUE(MID($C139,4,3) &amp; LEFT($C139,3) &amp; RIGHT($C139,4)), "")</f>
        <v>43549</v>
      </c>
      <c r="Q139" s="35" t="str">
        <f t="array" ref="Q139">IF($R139&lt;&gt;"",IFERROR(INDEX(Investment!$A:$A,MATCH($R139,Investment!$H:$H,0))),)</f>
        <v>Long term US bonds (20-25 year)</v>
      </c>
      <c r="R139" s="36" t="str">
        <f t="array" ref="R139">IF(AND($Y139="change",$H139="EUR"),IF(AND($AA139="Crédit",$O139=$O140),$R140,IF(AND($AA139="Débit",$O139=$O138),$R138)),IF(OR(AND(OR($E139&lt;&gt;"",$M139=""),$N139&lt;&gt;0),$A139=""),IFERROR(INDEX(Investment!$H:$H,MATCH($E139,Investment!$F:$F,0))),IFERROR(INDEX($R140:$R1119,MATCH(SUBSTITUTE($I139,"-","",1),$K140:$K1119,0)),INDEX($R140:$R1119,MATCH($K139,$K140:$K1119,0)))))</f>
        <v>iShares Treasury Bond 20+ UCITS</v>
      </c>
      <c r="S139" s="35" t="str">
        <f t="shared" si="2"/>
        <v>SELL</v>
      </c>
      <c r="T139" s="37">
        <f t="shared" si="3"/>
        <v>-13195</v>
      </c>
      <c r="U139" s="38">
        <f t="shared" si="4"/>
        <v>4.113221675</v>
      </c>
      <c r="V139" s="31">
        <f t="shared" si="5"/>
        <v>54273.96</v>
      </c>
      <c r="W139" s="39" t="str">
        <f>IFERROR(__xludf.DUMMYFUNCTION(" IF(Account!$F139&lt;&gt;"""", SPLIT(Account!$F139, "" ""), """")"),"Vente")</f>
        <v>Vente</v>
      </c>
      <c r="X139" s="40" t="str">
        <f>IFERROR(__xludf.DUMMYFUNCTION("""COMPUTED_VALUE"""),"13 195")</f>
        <v>13 195</v>
      </c>
      <c r="Y139" s="40" t="str">
        <f>IFERROR(__xludf.DUMMYFUNCTION("""COMPUTED_VALUE"""),"ISH")</f>
        <v>ISH</v>
      </c>
      <c r="Z139" s="40" t="str">
        <f>IFERROR(__xludf.DUMMYFUNCTION("""COMPUTED_VALUE"""),"$")</f>
        <v>$</v>
      </c>
      <c r="AA139" s="40" t="str">
        <f>IFERROR(__xludf.DUMMYFUNCTION("""COMPUTED_VALUE"""),"TRESU")</f>
        <v>TRESU</v>
      </c>
      <c r="AB139" s="40" t="str">
        <f>IFERROR(__xludf.DUMMYFUNCTION("""COMPUTED_VALUE"""),"20+@4,66")</f>
        <v>20+@4,66</v>
      </c>
      <c r="AC139" s="40" t="str">
        <f>IFERROR(__xludf.DUMMYFUNCTION("""COMPUTED_VALUE"""),"USD")</f>
        <v>USD</v>
      </c>
      <c r="AD139" s="40" t="str">
        <f>IFERROR(__xludf.DUMMYFUNCTION("""COMPUTED_VALUE"""),"(IE00BSKRJZ44)")</f>
        <v>(IE00BSKRJZ44)</v>
      </c>
      <c r="AE139" s="40"/>
      <c r="AF139" s="40"/>
      <c r="AG139" s="40"/>
      <c r="AH139" s="40"/>
      <c r="AI139" s="40"/>
      <c r="AJ139" s="40"/>
      <c r="AK139" s="40"/>
    </row>
    <row r="140">
      <c r="A140" s="10" t="s">
        <v>1018</v>
      </c>
      <c r="B140" s="10" t="s">
        <v>1038</v>
      </c>
      <c r="C140" s="10" t="s">
        <v>1018</v>
      </c>
      <c r="D140" s="10" t="s">
        <v>1020</v>
      </c>
      <c r="E140" s="10" t="s">
        <v>84</v>
      </c>
      <c r="F140" s="12" t="s">
        <v>73</v>
      </c>
      <c r="G140" s="10" t="s">
        <v>1039</v>
      </c>
      <c r="H140" s="10" t="s">
        <v>74</v>
      </c>
      <c r="I140" s="10" t="s">
        <v>1040</v>
      </c>
      <c r="J140" s="10" t="s">
        <v>74</v>
      </c>
      <c r="K140" s="10" t="s">
        <v>76</v>
      </c>
      <c r="L140" s="12" t="s">
        <v>1041</v>
      </c>
      <c r="M140" s="29">
        <f t="shared" si="1"/>
        <v>0</v>
      </c>
      <c r="N140" s="31">
        <f>IFERROR(__xludf.DUMMYFUNCTION("IF(Account!$F140&lt;&gt;"""", VALUE(REGEXREPLACE($I140, ""\,"", ""."")), """")"),-244631.36)</f>
        <v>-244631.36</v>
      </c>
      <c r="O140" s="33">
        <f>IF(Account!$F140&lt;&gt;"", DATEVALUE(MID($A140,4,3) &amp; LEFT($A140,3) &amp; RIGHT($A140,4)) + TIMEVALUE($B140), "")</f>
        <v>43549.43125</v>
      </c>
      <c r="P140" s="34">
        <f>IF(Account!$F140&lt;&gt;"", DATEVALUE(MID($C140,4,3) &amp; LEFT($C140,3) &amp; RIGHT($C140,4)), "")</f>
        <v>43549</v>
      </c>
      <c r="Q140" s="35" t="str">
        <f t="array" ref="Q140">IF($R140&lt;&gt;"",IFERROR(INDEX(Investment!$A:$A,MATCH($R140,Investment!$H:$H,0))),)</f>
        <v>Long term US bonds (20-25 year)</v>
      </c>
      <c r="R140" s="36" t="str">
        <f t="array" ref="R140">IF(AND($Y140="change",$H140="EUR"),IF(AND($AA140="Crédit",$O140=$O141),$R141,IF(AND($AA140="Débit",$O140=$O139),$R139)),IF(OR(AND(OR($E140&lt;&gt;"",$M140=""),$N140&lt;&gt;0),$A140=""),IFERROR(INDEX(Investment!$H:$H,MATCH($E140,Investment!$F:$F,0))),IFERROR(INDEX($R141:$R1119,MATCH(SUBSTITUTE($I140,"-","",1),$K141:$K1119,0)),INDEX($R141:$R1119,MATCH($K140,$K141:$K1119,0)))))</f>
        <v>iShares Treasury Bond 20+ UCITS</v>
      </c>
      <c r="S140" s="35" t="str">
        <f t="shared" si="2"/>
        <v>SELL</v>
      </c>
      <c r="T140" s="37">
        <f t="shared" si="3"/>
        <v>-60000</v>
      </c>
      <c r="U140" s="38">
        <f t="shared" si="4"/>
        <v>4.112904167</v>
      </c>
      <c r="V140" s="31">
        <f t="shared" si="5"/>
        <v>246774.25</v>
      </c>
      <c r="W140" s="39" t="str">
        <f>IFERROR(__xludf.DUMMYFUNCTION(" IF(Account!$F140&lt;&gt;"""", SPLIT(Account!$F140, "" ""), """")"),"Opération")</f>
        <v>Opération</v>
      </c>
      <c r="X140" s="40" t="str">
        <f>IFERROR(__xludf.DUMMYFUNCTION("""COMPUTED_VALUE"""),"de")</f>
        <v>de</v>
      </c>
      <c r="Y140" s="40" t="str">
        <f>IFERROR(__xludf.DUMMYFUNCTION("""COMPUTED_VALUE"""),"change")</f>
        <v>change</v>
      </c>
      <c r="Z140" s="40" t="str">
        <f>IFERROR(__xludf.DUMMYFUNCTION("""COMPUTED_VALUE"""),"-")</f>
        <v>-</v>
      </c>
      <c r="AA140" s="40" t="str">
        <f>IFERROR(__xludf.DUMMYFUNCTION("""COMPUTED_VALUE"""),"Débit")</f>
        <v>Débit</v>
      </c>
      <c r="AB140" s="40"/>
      <c r="AC140" s="40"/>
      <c r="AD140" s="40"/>
      <c r="AE140" s="40"/>
      <c r="AF140" s="40"/>
      <c r="AG140" s="40"/>
      <c r="AH140" s="40"/>
      <c r="AI140" s="40"/>
      <c r="AJ140" s="40"/>
      <c r="AK140" s="40"/>
    </row>
    <row r="141">
      <c r="A141" s="10" t="s">
        <v>1018</v>
      </c>
      <c r="B141" s="10" t="s">
        <v>1038</v>
      </c>
      <c r="C141" s="10" t="s">
        <v>1018</v>
      </c>
      <c r="D141" s="10" t="s">
        <v>1020</v>
      </c>
      <c r="E141" s="10" t="s">
        <v>84</v>
      </c>
      <c r="F141" s="12" t="s">
        <v>69</v>
      </c>
      <c r="G141" s="10"/>
      <c r="H141" s="10" t="s">
        <v>70</v>
      </c>
      <c r="I141" s="10" t="s">
        <v>1044</v>
      </c>
      <c r="J141" s="10" t="s">
        <v>70</v>
      </c>
      <c r="K141" s="10" t="s">
        <v>1045</v>
      </c>
      <c r="L141" s="12" t="s">
        <v>1041</v>
      </c>
      <c r="M141" s="29">
        <f t="shared" si="1"/>
        <v>0</v>
      </c>
      <c r="N141" s="31">
        <f>IFERROR(__xludf.DUMMYFUNCTION("IF(Account!$F141&lt;&gt;"""", VALUE(REGEXREPLACE($I141, ""\,"", ""."")), """")"),215908.63)</f>
        <v>215908.63</v>
      </c>
      <c r="O141" s="33">
        <f>IF(Account!$F141&lt;&gt;"", DATEVALUE(MID($A141,4,3) &amp; LEFT($A141,3) &amp; RIGHT($A141,4)) + TIMEVALUE($B141), "")</f>
        <v>43549.43125</v>
      </c>
      <c r="P141" s="34">
        <f>IF(Account!$F141&lt;&gt;"", DATEVALUE(MID($C141,4,3) &amp; LEFT($C141,3) &amp; RIGHT($C141,4)), "")</f>
        <v>43549</v>
      </c>
      <c r="Q141" s="35" t="str">
        <f t="array" ref="Q141">IF($R141&lt;&gt;"",IFERROR(INDEX(Investment!$A:$A,MATCH($R141,Investment!$H:$H,0))),)</f>
        <v>Long term US bonds (20-25 year)</v>
      </c>
      <c r="R141" s="36" t="str">
        <f t="array" ref="R141">IF(AND($Y141="change",$H141="EUR"),IF(AND($AA141="Crédit",$O141=$O142),$R142,IF(AND($AA141="Débit",$O141=$O140),$R140)),IF(OR(AND(OR($E141&lt;&gt;"",$M141=""),$N141&lt;&gt;0),$A141=""),IFERROR(INDEX(Investment!$H:$H,MATCH($E141,Investment!$F:$F,0))),IFERROR(INDEX($R142:$R1119,MATCH(SUBSTITUTE($I141,"-","",1),$K142:$K1119,0)),INDEX($R142:$R1119,MATCH($K141,$K142:$K1119,0)))))</f>
        <v>iShares Treasury Bond 20+ UCITS</v>
      </c>
      <c r="S141" s="35" t="str">
        <f t="shared" si="2"/>
        <v>SELL</v>
      </c>
      <c r="T141" s="37">
        <f t="shared" si="3"/>
        <v>-60000</v>
      </c>
      <c r="U141" s="38">
        <f t="shared" si="4"/>
        <v>4.112904167</v>
      </c>
      <c r="V141" s="31">
        <f t="shared" si="5"/>
        <v>246774.25</v>
      </c>
      <c r="W141" s="39" t="str">
        <f>IFERROR(__xludf.DUMMYFUNCTION(" IF(Account!$F141&lt;&gt;"""", SPLIT(Account!$F141, "" ""), """")"),"Operation")</f>
        <v>Operation</v>
      </c>
      <c r="X141" s="40" t="str">
        <f>IFERROR(__xludf.DUMMYFUNCTION("""COMPUTED_VALUE"""),"de")</f>
        <v>de</v>
      </c>
      <c r="Y141" s="40" t="str">
        <f>IFERROR(__xludf.DUMMYFUNCTION("""COMPUTED_VALUE"""),"change")</f>
        <v>change</v>
      </c>
      <c r="Z141" s="40" t="str">
        <f>IFERROR(__xludf.DUMMYFUNCTION("""COMPUTED_VALUE"""),"-")</f>
        <v>-</v>
      </c>
      <c r="AA141" s="40" t="str">
        <f>IFERROR(__xludf.DUMMYFUNCTION("""COMPUTED_VALUE"""),"Crédit")</f>
        <v>Crédit</v>
      </c>
      <c r="AB141" s="40"/>
      <c r="AC141" s="40"/>
      <c r="AD141" s="40"/>
      <c r="AE141" s="40"/>
      <c r="AF141" s="40"/>
      <c r="AG141" s="40"/>
      <c r="AH141" s="40"/>
      <c r="AI141" s="40"/>
      <c r="AJ141" s="40"/>
      <c r="AK141" s="40"/>
    </row>
    <row r="142">
      <c r="A142" s="10" t="s">
        <v>1018</v>
      </c>
      <c r="B142" s="10" t="s">
        <v>1038</v>
      </c>
      <c r="C142" s="10" t="s">
        <v>1018</v>
      </c>
      <c r="D142" s="10" t="s">
        <v>1020</v>
      </c>
      <c r="E142" s="10" t="s">
        <v>84</v>
      </c>
      <c r="F142" s="12" t="s">
        <v>222</v>
      </c>
      <c r="G142" s="10"/>
      <c r="H142" s="10" t="s">
        <v>70</v>
      </c>
      <c r="I142" s="10" t="s">
        <v>1048</v>
      </c>
      <c r="J142" s="10" t="s">
        <v>70</v>
      </c>
      <c r="K142" s="10" t="s">
        <v>1049</v>
      </c>
      <c r="L142" s="12" t="s">
        <v>1041</v>
      </c>
      <c r="M142" s="29" t="str">
        <f t="shared" si="1"/>
        <v/>
      </c>
      <c r="N142" s="31">
        <f>IFERROR(__xludf.DUMMYFUNCTION("IF(Account!$F142&lt;&gt;"""", VALUE(REGEXREPLACE($I142, ""\,"", ""."")), """")"),-43.27)</f>
        <v>-43.27</v>
      </c>
      <c r="O142" s="33">
        <f>IF(Account!$F142&lt;&gt;"", DATEVALUE(MID($A142,4,3) &amp; LEFT($A142,3) &amp; RIGHT($A142,4)) + TIMEVALUE($B142), "")</f>
        <v>43549.43125</v>
      </c>
      <c r="P142" s="34">
        <f>IF(Account!$F142&lt;&gt;"", DATEVALUE(MID($C142,4,3) &amp; LEFT($C142,3) &amp; RIGHT($C142,4)), "")</f>
        <v>43549</v>
      </c>
      <c r="Q142" s="35" t="str">
        <f t="array" ref="Q142">IF($R142&lt;&gt;"",IFERROR(INDEX(Investment!$A:$A,MATCH($R142,Investment!$H:$H,0))),)</f>
        <v>Long term US bonds (20-25 year)</v>
      </c>
      <c r="R142" s="36" t="str">
        <f t="array" ref="R142">IF(AND($Y142="change",$H142="EUR"),IF(AND($AA142="Crédit",$O142=$O143),$R143,IF(AND($AA142="Débit",$O142=$O141),$R141)),IF(OR(AND(OR($E142&lt;&gt;"",$M142=""),$N142&lt;&gt;0),$A142=""),IFERROR(INDEX(Investment!$H:$H,MATCH($E142,Investment!$F:$F,0))),IFERROR(INDEX($R143:$R1119,MATCH(SUBSTITUTE($I142,"-","",1),$K143:$K1119,0)),INDEX($R143:$R1119,MATCH($K142,$K143:$K1119,0)))))</f>
        <v>iShares Treasury Bond 20+ UCITS</v>
      </c>
      <c r="S142" s="35" t="str">
        <f t="shared" si="2"/>
        <v>COST</v>
      </c>
      <c r="T142" s="37" t="str">
        <f t="shared" si="3"/>
        <v/>
      </c>
      <c r="U142" s="38" t="str">
        <f t="shared" si="4"/>
        <v/>
      </c>
      <c r="V142" s="31">
        <f t="shared" si="5"/>
        <v>-51.46</v>
      </c>
      <c r="W142" s="39" t="str">
        <f>IFERROR(__xludf.DUMMYFUNCTION(" IF(Account!$F142&lt;&gt;"""", SPLIT(Account!$F142, "" ""), """")"),"Frais")</f>
        <v>Frais</v>
      </c>
      <c r="X142" s="40" t="str">
        <f>IFERROR(__xludf.DUMMYFUNCTION("""COMPUTED_VALUE"""),"de")</f>
        <v>de</v>
      </c>
      <c r="Y142" s="40" t="str">
        <f>IFERROR(__xludf.DUMMYFUNCTION("""COMPUTED_VALUE"""),"courtage")</f>
        <v>courtage</v>
      </c>
      <c r="Z142" s="40"/>
      <c r="AA142" s="40"/>
      <c r="AB142" s="40"/>
      <c r="AC142" s="40"/>
      <c r="AD142" s="40"/>
      <c r="AE142" s="40"/>
      <c r="AF142" s="40"/>
      <c r="AG142" s="40"/>
      <c r="AH142" s="40"/>
      <c r="AI142" s="40"/>
      <c r="AJ142" s="40"/>
      <c r="AK142" s="40"/>
    </row>
    <row r="143">
      <c r="A143" s="10" t="s">
        <v>1018</v>
      </c>
      <c r="B143" s="10" t="s">
        <v>1038</v>
      </c>
      <c r="C143" s="10" t="s">
        <v>1018</v>
      </c>
      <c r="D143" s="10" t="s">
        <v>1020</v>
      </c>
      <c r="E143" s="10" t="s">
        <v>84</v>
      </c>
      <c r="F143" s="12" t="s">
        <v>1052</v>
      </c>
      <c r="G143" s="10"/>
      <c r="H143" s="10" t="s">
        <v>74</v>
      </c>
      <c r="I143" s="10" t="s">
        <v>1053</v>
      </c>
      <c r="J143" s="10" t="s">
        <v>74</v>
      </c>
      <c r="K143" s="10" t="s">
        <v>1053</v>
      </c>
      <c r="L143" s="12" t="s">
        <v>1041</v>
      </c>
      <c r="M143" s="29">
        <f t="shared" si="1"/>
        <v>-52496</v>
      </c>
      <c r="N143" s="31">
        <f>IFERROR(__xludf.DUMMYFUNCTION("IF(Account!$F143&lt;&gt;"""", VALUE(REGEXREPLACE($I143, ""\,"", ""."")), """")"),244631.36)</f>
        <v>244631.36</v>
      </c>
      <c r="O143" s="33">
        <f>IF(Account!$F143&lt;&gt;"", DATEVALUE(MID($A143,4,3) &amp; LEFT($A143,3) &amp; RIGHT($A143,4)) + TIMEVALUE($B143), "")</f>
        <v>43549.43125</v>
      </c>
      <c r="P143" s="34">
        <f>IF(Account!$F143&lt;&gt;"", DATEVALUE(MID($C143,4,3) &amp; LEFT($C143,3) &amp; RIGHT($C143,4)), "")</f>
        <v>43549</v>
      </c>
      <c r="Q143" s="35" t="str">
        <f t="array" ref="Q143">IF($R143&lt;&gt;"",IFERROR(INDEX(Investment!$A:$A,MATCH($R143,Investment!$H:$H,0))),)</f>
        <v>Long term US bonds (20-25 year)</v>
      </c>
      <c r="R143" s="36" t="str">
        <f t="array" ref="R143">IF(AND($Y143="change",$H143="EUR"),IF(AND($AA143="Crédit",$O143=$O144),$R144,IF(AND($AA143="Débit",$O143=$O142),$R142)),IF(OR(AND(OR($E143&lt;&gt;"",$M143=""),$N143&lt;&gt;0),$A143=""),IFERROR(INDEX(Investment!$H:$H,MATCH($E143,Investment!$F:$F,0))),IFERROR(INDEX($R144:$R1119,MATCH(SUBSTITUTE($I143,"-","",1),$K144:$K1119,0)),INDEX($R144:$R1119,MATCH($K143,$K144:$K1119,0)))))</f>
        <v>iShares Treasury Bond 20+ UCITS</v>
      </c>
      <c r="S143" s="35" t="str">
        <f t="shared" si="2"/>
        <v>SELL</v>
      </c>
      <c r="T143" s="37">
        <f t="shared" si="3"/>
        <v>-60000</v>
      </c>
      <c r="U143" s="38">
        <f t="shared" si="4"/>
        <v>4.112904167</v>
      </c>
      <c r="V143" s="31">
        <f t="shared" si="5"/>
        <v>246774.25</v>
      </c>
      <c r="W143" s="39" t="str">
        <f>IFERROR(__xludf.DUMMYFUNCTION(" IF(Account!$F143&lt;&gt;"""", SPLIT(Account!$F143, "" ""), """")"),"Vente")</f>
        <v>Vente</v>
      </c>
      <c r="X143" s="40" t="str">
        <f>IFERROR(__xludf.DUMMYFUNCTION("""COMPUTED_VALUE"""),"52 496")</f>
        <v>52 496</v>
      </c>
      <c r="Y143" s="40" t="str">
        <f>IFERROR(__xludf.DUMMYFUNCTION("""COMPUTED_VALUE"""),"ISH")</f>
        <v>ISH</v>
      </c>
      <c r="Z143" s="40" t="str">
        <f>IFERROR(__xludf.DUMMYFUNCTION("""COMPUTED_VALUE"""),"$")</f>
        <v>$</v>
      </c>
      <c r="AA143" s="40" t="str">
        <f>IFERROR(__xludf.DUMMYFUNCTION("""COMPUTED_VALUE"""),"TRESU")</f>
        <v>TRESU</v>
      </c>
      <c r="AB143" s="40" t="str">
        <f>IFERROR(__xludf.DUMMYFUNCTION("""COMPUTED_VALUE"""),"20+@4,66")</f>
        <v>20+@4,66</v>
      </c>
      <c r="AC143" s="40" t="str">
        <f>IFERROR(__xludf.DUMMYFUNCTION("""COMPUTED_VALUE"""),"USD")</f>
        <v>USD</v>
      </c>
      <c r="AD143" s="40" t="str">
        <f>IFERROR(__xludf.DUMMYFUNCTION("""COMPUTED_VALUE"""),"(IE00BSKRJZ44)")</f>
        <v>(IE00BSKRJZ44)</v>
      </c>
      <c r="AE143" s="40"/>
      <c r="AF143" s="40"/>
      <c r="AG143" s="40"/>
      <c r="AH143" s="40"/>
      <c r="AI143" s="40"/>
      <c r="AJ143" s="40"/>
      <c r="AK143" s="40"/>
    </row>
    <row r="144">
      <c r="A144" s="10" t="s">
        <v>1018</v>
      </c>
      <c r="B144" s="10" t="s">
        <v>1038</v>
      </c>
      <c r="C144" s="10" t="s">
        <v>1018</v>
      </c>
      <c r="D144" s="10" t="s">
        <v>1020</v>
      </c>
      <c r="E144" s="10" t="s">
        <v>84</v>
      </c>
      <c r="F144" s="12" t="s">
        <v>73</v>
      </c>
      <c r="G144" s="10" t="s">
        <v>1021</v>
      </c>
      <c r="H144" s="10" t="s">
        <v>74</v>
      </c>
      <c r="I144" s="10" t="s">
        <v>1056</v>
      </c>
      <c r="J144" s="10" t="s">
        <v>74</v>
      </c>
      <c r="K144" s="10" t="s">
        <v>76</v>
      </c>
      <c r="L144" s="12" t="s">
        <v>1041</v>
      </c>
      <c r="M144" s="29">
        <f t="shared" si="1"/>
        <v>0</v>
      </c>
      <c r="N144" s="31">
        <f>IFERROR(__xludf.DUMMYFUNCTION("IF(Account!$F144&lt;&gt;"""", VALUE(REGEXREPLACE($I144, ""\,"", ""."")), """")"),-34968.64)</f>
        <v>-34968.64</v>
      </c>
      <c r="O144" s="33">
        <f>IF(Account!$F144&lt;&gt;"", DATEVALUE(MID($A144,4,3) &amp; LEFT($A144,3) &amp; RIGHT($A144,4)) + TIMEVALUE($B144), "")</f>
        <v>43549.43125</v>
      </c>
      <c r="P144" s="34">
        <f>IF(Account!$F144&lt;&gt;"", DATEVALUE(MID($C144,4,3) &amp; LEFT($C144,3) &amp; RIGHT($C144,4)), "")</f>
        <v>43549</v>
      </c>
      <c r="Q144" s="35" t="str">
        <f t="array" ref="Q144">IF($R144&lt;&gt;"",IFERROR(INDEX(Investment!$A:$A,MATCH($R144,Investment!$H:$H,0))),)</f>
        <v>Long term US bonds (20-25 year)</v>
      </c>
      <c r="R144" s="36" t="str">
        <f t="array" ref="R144">IF(AND($Y144="change",$H144="EUR"),IF(AND($AA144="Crédit",$O144=$O145),$R145,IF(AND($AA144="Débit",$O144=$O143),$R143)),IF(OR(AND(OR($E144&lt;&gt;"",$M144=""),$N144&lt;&gt;0),$A144=""),IFERROR(INDEX(Investment!$H:$H,MATCH($E144,Investment!$F:$F,0))),IFERROR(INDEX($R145:$R1119,MATCH(SUBSTITUTE($I144,"-","",1),$K145:$K1119,0)),INDEX($R145:$R1119,MATCH($K144,$K145:$K1119,0)))))</f>
        <v>iShares Treasury Bond 20+ UCITS</v>
      </c>
      <c r="S144" s="35" t="str">
        <f t="shared" si="2"/>
        <v>SELL</v>
      </c>
      <c r="T144" s="37">
        <f t="shared" si="3"/>
        <v>-60000</v>
      </c>
      <c r="U144" s="38">
        <f t="shared" si="4"/>
        <v>4.112904167</v>
      </c>
      <c r="V144" s="31">
        <f t="shared" si="5"/>
        <v>246774.25</v>
      </c>
      <c r="W144" s="39" t="str">
        <f>IFERROR(__xludf.DUMMYFUNCTION(" IF(Account!$F144&lt;&gt;"""", SPLIT(Account!$F144, "" ""), """")"),"Opération")</f>
        <v>Opération</v>
      </c>
      <c r="X144" s="40" t="str">
        <f>IFERROR(__xludf.DUMMYFUNCTION("""COMPUTED_VALUE"""),"de")</f>
        <v>de</v>
      </c>
      <c r="Y144" s="40" t="str">
        <f>IFERROR(__xludf.DUMMYFUNCTION("""COMPUTED_VALUE"""),"change")</f>
        <v>change</v>
      </c>
      <c r="Z144" s="40" t="str">
        <f>IFERROR(__xludf.DUMMYFUNCTION("""COMPUTED_VALUE"""),"-")</f>
        <v>-</v>
      </c>
      <c r="AA144" s="40" t="str">
        <f>IFERROR(__xludf.DUMMYFUNCTION("""COMPUTED_VALUE"""),"Débit")</f>
        <v>Débit</v>
      </c>
      <c r="AB144" s="40"/>
      <c r="AC144" s="40"/>
      <c r="AD144" s="40"/>
      <c r="AE144" s="40"/>
      <c r="AF144" s="40"/>
      <c r="AG144" s="40"/>
      <c r="AH144" s="40"/>
      <c r="AI144" s="40"/>
      <c r="AJ144" s="40"/>
      <c r="AK144" s="40"/>
    </row>
    <row r="145">
      <c r="A145" s="10" t="s">
        <v>1018</v>
      </c>
      <c r="B145" s="10" t="s">
        <v>1038</v>
      </c>
      <c r="C145" s="10" t="s">
        <v>1018</v>
      </c>
      <c r="D145" s="10" t="s">
        <v>1020</v>
      </c>
      <c r="E145" s="10" t="s">
        <v>84</v>
      </c>
      <c r="F145" s="12" t="s">
        <v>69</v>
      </c>
      <c r="G145" s="10"/>
      <c r="H145" s="10" t="s">
        <v>70</v>
      </c>
      <c r="I145" s="10" t="s">
        <v>1059</v>
      </c>
      <c r="J145" s="10" t="s">
        <v>70</v>
      </c>
      <c r="K145" s="10" t="s">
        <v>1060</v>
      </c>
      <c r="L145" s="12" t="s">
        <v>1041</v>
      </c>
      <c r="M145" s="29">
        <f t="shared" si="1"/>
        <v>0</v>
      </c>
      <c r="N145" s="31">
        <f>IFERROR(__xludf.DUMMYFUNCTION("IF(Account!$F145&lt;&gt;"""", VALUE(REGEXREPLACE($I145, ""\,"", ""."")), """")"),30865.62)</f>
        <v>30865.62</v>
      </c>
      <c r="O145" s="33">
        <f>IF(Account!$F145&lt;&gt;"", DATEVALUE(MID($A145,4,3) &amp; LEFT($A145,3) &amp; RIGHT($A145,4)) + TIMEVALUE($B145), "")</f>
        <v>43549.43125</v>
      </c>
      <c r="P145" s="34">
        <f>IF(Account!$F145&lt;&gt;"", DATEVALUE(MID($C145,4,3) &amp; LEFT($C145,3) &amp; RIGHT($C145,4)), "")</f>
        <v>43549</v>
      </c>
      <c r="Q145" s="35" t="str">
        <f t="array" ref="Q145">IF($R145&lt;&gt;"",IFERROR(INDEX(Investment!$A:$A,MATCH($R145,Investment!$H:$H,0))),)</f>
        <v>Long term US bonds (20-25 year)</v>
      </c>
      <c r="R145" s="36" t="str">
        <f t="array" ref="R145">IF(AND($Y145="change",$H145="EUR"),IF(AND($AA145="Crédit",$O145=$O146),$R146,IF(AND($AA145="Débit",$O145=$O144),$R144)),IF(OR(AND(OR($E145&lt;&gt;"",$M145=""),$N145&lt;&gt;0),$A145=""),IFERROR(INDEX(Investment!$H:$H,MATCH($E145,Investment!$F:$F,0))),IFERROR(INDEX($R146:$R1119,MATCH(SUBSTITUTE($I145,"-","",1),$K146:$K1119,0)),INDEX($R146:$R1119,MATCH($K145,$K146:$K1119,0)))))</f>
        <v>iShares Treasury Bond 20+ UCITS</v>
      </c>
      <c r="S145" s="35" t="str">
        <f t="shared" si="2"/>
        <v>SELL</v>
      </c>
      <c r="T145" s="37">
        <f t="shared" si="3"/>
        <v>-60000</v>
      </c>
      <c r="U145" s="38">
        <f t="shared" si="4"/>
        <v>4.112904167</v>
      </c>
      <c r="V145" s="31">
        <f t="shared" si="5"/>
        <v>246774.25</v>
      </c>
      <c r="W145" s="39" t="str">
        <f>IFERROR(__xludf.DUMMYFUNCTION(" IF(Account!$F145&lt;&gt;"""", SPLIT(Account!$F145, "" ""), """")"),"Operation")</f>
        <v>Operation</v>
      </c>
      <c r="X145" s="40" t="str">
        <f>IFERROR(__xludf.DUMMYFUNCTION("""COMPUTED_VALUE"""),"de")</f>
        <v>de</v>
      </c>
      <c r="Y145" s="40" t="str">
        <f>IFERROR(__xludf.DUMMYFUNCTION("""COMPUTED_VALUE"""),"change")</f>
        <v>change</v>
      </c>
      <c r="Z145" s="40" t="str">
        <f>IFERROR(__xludf.DUMMYFUNCTION("""COMPUTED_VALUE"""),"-")</f>
        <v>-</v>
      </c>
      <c r="AA145" s="40" t="str">
        <f>IFERROR(__xludf.DUMMYFUNCTION("""COMPUTED_VALUE"""),"Crédit")</f>
        <v>Crédit</v>
      </c>
      <c r="AB145" s="40"/>
      <c r="AC145" s="40"/>
      <c r="AD145" s="40"/>
      <c r="AE145" s="40"/>
      <c r="AF145" s="40"/>
      <c r="AG145" s="40"/>
      <c r="AH145" s="40"/>
      <c r="AI145" s="40"/>
      <c r="AJ145" s="40"/>
      <c r="AK145" s="40"/>
    </row>
    <row r="146">
      <c r="A146" s="10" t="s">
        <v>1018</v>
      </c>
      <c r="B146" s="10" t="s">
        <v>1038</v>
      </c>
      <c r="C146" s="10" t="s">
        <v>1018</v>
      </c>
      <c r="D146" s="10" t="s">
        <v>1020</v>
      </c>
      <c r="E146" s="10" t="s">
        <v>84</v>
      </c>
      <c r="F146" s="12" t="s">
        <v>222</v>
      </c>
      <c r="G146" s="10"/>
      <c r="H146" s="10" t="s">
        <v>70</v>
      </c>
      <c r="I146" s="10" t="s">
        <v>223</v>
      </c>
      <c r="J146" s="10" t="s">
        <v>70</v>
      </c>
      <c r="K146" s="10" t="s">
        <v>1062</v>
      </c>
      <c r="L146" s="12" t="s">
        <v>1041</v>
      </c>
      <c r="M146" s="29" t="str">
        <f t="shared" si="1"/>
        <v/>
      </c>
      <c r="N146" s="31">
        <f>IFERROR(__xludf.DUMMYFUNCTION("IF(Account!$F146&lt;&gt;"""", VALUE(REGEXREPLACE($I146, ""\,"", ""."")), """")"),-2.0)</f>
        <v>-2</v>
      </c>
      <c r="O146" s="33">
        <f>IF(Account!$F146&lt;&gt;"", DATEVALUE(MID($A146,4,3) &amp; LEFT($A146,3) &amp; RIGHT($A146,4)) + TIMEVALUE($B146), "")</f>
        <v>43549.43125</v>
      </c>
      <c r="P146" s="34">
        <f>IF(Account!$F146&lt;&gt;"", DATEVALUE(MID($C146,4,3) &amp; LEFT($C146,3) &amp; RIGHT($C146,4)), "")</f>
        <v>43549</v>
      </c>
      <c r="Q146" s="35" t="str">
        <f t="array" ref="Q146">IF($R146&lt;&gt;"",IFERROR(INDEX(Investment!$A:$A,MATCH($R146,Investment!$H:$H,0))),)</f>
        <v>Long term US bonds (20-25 year)</v>
      </c>
      <c r="R146" s="36" t="str">
        <f t="array" ref="R146">IF(AND($Y146="change",$H146="EUR"),IF(AND($AA146="Crédit",$O146=$O147),$R147,IF(AND($AA146="Débit",$O146=$O145),$R145)),IF(OR(AND(OR($E146&lt;&gt;"",$M146=""),$N146&lt;&gt;0),$A146=""),IFERROR(INDEX(Investment!$H:$H,MATCH($E146,Investment!$F:$F,0))),IFERROR(INDEX($R147:$R1119,MATCH(SUBSTITUTE($I146,"-","",1),$K147:$K1119,0)),INDEX($R147:$R1119,MATCH($K146,$K147:$K1119,0)))))</f>
        <v>iShares Treasury Bond 20+ UCITS</v>
      </c>
      <c r="S146" s="35" t="str">
        <f t="shared" si="2"/>
        <v>COST</v>
      </c>
      <c r="T146" s="37" t="str">
        <f t="shared" si="3"/>
        <v/>
      </c>
      <c r="U146" s="38" t="str">
        <f t="shared" si="4"/>
        <v/>
      </c>
      <c r="V146" s="31">
        <f t="shared" si="5"/>
        <v>-51.46</v>
      </c>
      <c r="W146" s="39" t="str">
        <f>IFERROR(__xludf.DUMMYFUNCTION(" IF(Account!$F146&lt;&gt;"""", SPLIT(Account!$F146, "" ""), """")"),"Frais")</f>
        <v>Frais</v>
      </c>
      <c r="X146" s="40" t="str">
        <f>IFERROR(__xludf.DUMMYFUNCTION("""COMPUTED_VALUE"""),"de")</f>
        <v>de</v>
      </c>
      <c r="Y146" s="40" t="str">
        <f>IFERROR(__xludf.DUMMYFUNCTION("""COMPUTED_VALUE"""),"courtage")</f>
        <v>courtage</v>
      </c>
      <c r="Z146" s="40"/>
      <c r="AA146" s="40"/>
      <c r="AB146" s="40"/>
      <c r="AC146" s="40"/>
      <c r="AD146" s="40"/>
      <c r="AE146" s="40"/>
      <c r="AF146" s="40"/>
      <c r="AG146" s="40"/>
      <c r="AH146" s="40"/>
      <c r="AI146" s="40"/>
      <c r="AJ146" s="40"/>
      <c r="AK146" s="40"/>
    </row>
    <row r="147">
      <c r="A147" s="10" t="s">
        <v>1018</v>
      </c>
      <c r="B147" s="10" t="s">
        <v>1038</v>
      </c>
      <c r="C147" s="10" t="s">
        <v>1018</v>
      </c>
      <c r="D147" s="10" t="s">
        <v>1020</v>
      </c>
      <c r="E147" s="10" t="s">
        <v>84</v>
      </c>
      <c r="F147" s="12" t="s">
        <v>222</v>
      </c>
      <c r="G147" s="10"/>
      <c r="H147" s="10" t="s">
        <v>70</v>
      </c>
      <c r="I147" s="10" t="s">
        <v>1066</v>
      </c>
      <c r="J147" s="10" t="s">
        <v>70</v>
      </c>
      <c r="K147" s="10" t="s">
        <v>1067</v>
      </c>
      <c r="L147" s="12" t="s">
        <v>1041</v>
      </c>
      <c r="M147" s="29" t="str">
        <f t="shared" si="1"/>
        <v/>
      </c>
      <c r="N147" s="31">
        <f>IFERROR(__xludf.DUMMYFUNCTION("IF(Account!$F147&lt;&gt;"""", VALUE(REGEXREPLACE($I147, ""\,"", ""."")), """")"),-6.19)</f>
        <v>-6.19</v>
      </c>
      <c r="O147" s="33">
        <f>IF(Account!$F147&lt;&gt;"", DATEVALUE(MID($A147,4,3) &amp; LEFT($A147,3) &amp; RIGHT($A147,4)) + TIMEVALUE($B147), "")</f>
        <v>43549.43125</v>
      </c>
      <c r="P147" s="34">
        <f>IF(Account!$F147&lt;&gt;"", DATEVALUE(MID($C147,4,3) &amp; LEFT($C147,3) &amp; RIGHT($C147,4)), "")</f>
        <v>43549</v>
      </c>
      <c r="Q147" s="35" t="str">
        <f t="array" ref="Q147">IF($R147&lt;&gt;"",IFERROR(INDEX(Investment!$A:$A,MATCH($R147,Investment!$H:$H,0))),)</f>
        <v>Long term US bonds (20-25 year)</v>
      </c>
      <c r="R147" s="36" t="str">
        <f t="array" ref="R147">IF(AND($Y147="change",$H147="EUR"),IF(AND($AA147="Crédit",$O147=$O148),$R148,IF(AND($AA147="Débit",$O147=$O146),$R146)),IF(OR(AND(OR($E147&lt;&gt;"",$M147=""),$N147&lt;&gt;0),$A147=""),IFERROR(INDEX(Investment!$H:$H,MATCH($E147,Investment!$F:$F,0))),IFERROR(INDEX($R148:$R1119,MATCH(SUBSTITUTE($I147,"-","",1),$K148:$K1119,0)),INDEX($R148:$R1119,MATCH($K147,$K148:$K1119,0)))))</f>
        <v>iShares Treasury Bond 20+ UCITS</v>
      </c>
      <c r="S147" s="35" t="str">
        <f t="shared" si="2"/>
        <v>COST</v>
      </c>
      <c r="T147" s="37" t="str">
        <f t="shared" si="3"/>
        <v/>
      </c>
      <c r="U147" s="38" t="str">
        <f t="shared" si="4"/>
        <v/>
      </c>
      <c r="V147" s="31">
        <f t="shared" si="5"/>
        <v>-51.46</v>
      </c>
      <c r="W147" s="39" t="str">
        <f>IFERROR(__xludf.DUMMYFUNCTION(" IF(Account!$F147&lt;&gt;"""", SPLIT(Account!$F147, "" ""), """")"),"Frais")</f>
        <v>Frais</v>
      </c>
      <c r="X147" s="40" t="str">
        <f>IFERROR(__xludf.DUMMYFUNCTION("""COMPUTED_VALUE"""),"de")</f>
        <v>de</v>
      </c>
      <c r="Y147" s="40" t="str">
        <f>IFERROR(__xludf.DUMMYFUNCTION("""COMPUTED_VALUE"""),"courtage")</f>
        <v>courtage</v>
      </c>
      <c r="Z147" s="40"/>
      <c r="AA147" s="40"/>
      <c r="AB147" s="40"/>
      <c r="AC147" s="40"/>
      <c r="AD147" s="40"/>
      <c r="AE147" s="40"/>
      <c r="AF147" s="40"/>
      <c r="AG147" s="40"/>
      <c r="AH147" s="40"/>
      <c r="AI147" s="40"/>
      <c r="AJ147" s="40"/>
      <c r="AK147" s="40"/>
    </row>
    <row r="148">
      <c r="A148" s="10" t="s">
        <v>1018</v>
      </c>
      <c r="B148" s="10" t="s">
        <v>1038</v>
      </c>
      <c r="C148" s="10" t="s">
        <v>1018</v>
      </c>
      <c r="D148" s="10" t="s">
        <v>1020</v>
      </c>
      <c r="E148" s="10" t="s">
        <v>84</v>
      </c>
      <c r="F148" s="12" t="s">
        <v>1070</v>
      </c>
      <c r="G148" s="10"/>
      <c r="H148" s="10" t="s">
        <v>74</v>
      </c>
      <c r="I148" s="10" t="s">
        <v>1071</v>
      </c>
      <c r="J148" s="10" t="s">
        <v>74</v>
      </c>
      <c r="K148" s="10" t="s">
        <v>1071</v>
      </c>
      <c r="L148" s="12" t="s">
        <v>1041</v>
      </c>
      <c r="M148" s="29">
        <f t="shared" si="1"/>
        <v>-7504</v>
      </c>
      <c r="N148" s="31">
        <f>IFERROR(__xludf.DUMMYFUNCTION("IF(Account!$F148&lt;&gt;"""", VALUE(REGEXREPLACE($I148, ""\,"", ""."")), """")"),34968.64)</f>
        <v>34968.64</v>
      </c>
      <c r="O148" s="33">
        <f>IF(Account!$F148&lt;&gt;"", DATEVALUE(MID($A148,4,3) &amp; LEFT($A148,3) &amp; RIGHT($A148,4)) + TIMEVALUE($B148), "")</f>
        <v>43549.43125</v>
      </c>
      <c r="P148" s="34">
        <f>IF(Account!$F148&lt;&gt;"", DATEVALUE(MID($C148,4,3) &amp; LEFT($C148,3) &amp; RIGHT($C148,4)), "")</f>
        <v>43549</v>
      </c>
      <c r="Q148" s="35" t="str">
        <f t="array" ref="Q148">IF($R148&lt;&gt;"",IFERROR(INDEX(Investment!$A:$A,MATCH($R148,Investment!$H:$H,0))),)</f>
        <v>Long term US bonds (20-25 year)</v>
      </c>
      <c r="R148" s="36" t="str">
        <f t="array" ref="R148">IF(AND($Y148="change",$H148="EUR"),IF(AND($AA148="Crédit",$O148=$O149),$R149,IF(AND($AA148="Débit",$O148=$O147),$R147)),IF(OR(AND(OR($E148&lt;&gt;"",$M148=""),$N148&lt;&gt;0),$A148=""),IFERROR(INDEX(Investment!$H:$H,MATCH($E148,Investment!$F:$F,0))),IFERROR(INDEX($R149:$R1119,MATCH(SUBSTITUTE($I148,"-","",1),$K149:$K1119,0)),INDEX($R149:$R1119,MATCH($K148,$K149:$K1119,0)))))</f>
        <v>iShares Treasury Bond 20+ UCITS</v>
      </c>
      <c r="S148" s="35" t="str">
        <f t="shared" si="2"/>
        <v>SELL</v>
      </c>
      <c r="T148" s="37">
        <f t="shared" si="3"/>
        <v>-60000</v>
      </c>
      <c r="U148" s="38">
        <f t="shared" si="4"/>
        <v>4.112904167</v>
      </c>
      <c r="V148" s="31">
        <f t="shared" si="5"/>
        <v>246774.25</v>
      </c>
      <c r="W148" s="39" t="str">
        <f>IFERROR(__xludf.DUMMYFUNCTION(" IF(Account!$F148&lt;&gt;"""", SPLIT(Account!$F148, "" ""), """")"),"Vente")</f>
        <v>Vente</v>
      </c>
      <c r="X148" s="40" t="str">
        <f>IFERROR(__xludf.DUMMYFUNCTION("""COMPUTED_VALUE"""),"7 504")</f>
        <v>7 504</v>
      </c>
      <c r="Y148" s="40" t="str">
        <f>IFERROR(__xludf.DUMMYFUNCTION("""COMPUTED_VALUE"""),"ISH")</f>
        <v>ISH</v>
      </c>
      <c r="Z148" s="40" t="str">
        <f>IFERROR(__xludf.DUMMYFUNCTION("""COMPUTED_VALUE"""),"$")</f>
        <v>$</v>
      </c>
      <c r="AA148" s="40" t="str">
        <f>IFERROR(__xludf.DUMMYFUNCTION("""COMPUTED_VALUE"""),"TRESU")</f>
        <v>TRESU</v>
      </c>
      <c r="AB148" s="40" t="str">
        <f>IFERROR(__xludf.DUMMYFUNCTION("""COMPUTED_VALUE"""),"20+@4,66")</f>
        <v>20+@4,66</v>
      </c>
      <c r="AC148" s="40" t="str">
        <f>IFERROR(__xludf.DUMMYFUNCTION("""COMPUTED_VALUE"""),"USD")</f>
        <v>USD</v>
      </c>
      <c r="AD148" s="40" t="str">
        <f>IFERROR(__xludf.DUMMYFUNCTION("""COMPUTED_VALUE"""),"(IE00BSKRJZ44)")</f>
        <v>(IE00BSKRJZ44)</v>
      </c>
      <c r="AE148" s="40"/>
      <c r="AF148" s="40"/>
      <c r="AG148" s="40"/>
      <c r="AH148" s="40"/>
      <c r="AI148" s="40"/>
      <c r="AJ148" s="40"/>
      <c r="AK148" s="40"/>
    </row>
    <row r="149">
      <c r="A149" s="10" t="s">
        <v>1074</v>
      </c>
      <c r="B149" s="10" t="s">
        <v>1075</v>
      </c>
      <c r="C149" s="10" t="s">
        <v>1074</v>
      </c>
      <c r="D149" s="10" t="s">
        <v>140</v>
      </c>
      <c r="E149" s="10" t="s">
        <v>141</v>
      </c>
      <c r="F149" s="12" t="s">
        <v>1076</v>
      </c>
      <c r="G149" s="10"/>
      <c r="H149" s="10" t="s">
        <v>70</v>
      </c>
      <c r="I149" s="10" t="s">
        <v>1077</v>
      </c>
      <c r="J149" s="10" t="s">
        <v>70</v>
      </c>
      <c r="K149" s="10" t="s">
        <v>1078</v>
      </c>
      <c r="L149" s="12" t="s">
        <v>1079</v>
      </c>
      <c r="M149" s="29">
        <f t="shared" si="1"/>
        <v>-22</v>
      </c>
      <c r="N149" s="31">
        <f>IFERROR(__xludf.DUMMYFUNCTION("IF(Account!$F149&lt;&gt;"""", VALUE(REGEXREPLACE($I149, ""\,"", ""."")), """")"),1048.96)</f>
        <v>1048.96</v>
      </c>
      <c r="O149" s="33">
        <f>IF(Account!$F149&lt;&gt;"", DATEVALUE(MID($A149,4,3) &amp; LEFT($A149,3) &amp; RIGHT($A149,4)) + TIMEVALUE($B149), "")</f>
        <v>43543.68056</v>
      </c>
      <c r="P149" s="34">
        <f>IF(Account!$F149&lt;&gt;"", DATEVALUE(MID($C149,4,3) &amp; LEFT($C149,3) &amp; RIGHT($C149,4)), "")</f>
        <v>43543</v>
      </c>
      <c r="Q149" s="35" t="str">
        <f t="array" ref="Q149">IF($R149&lt;&gt;"",IFERROR(INDEX(Investment!$A:$A,MATCH($R149,Investment!$H:$H,0))),)</f>
        <v>Stocks</v>
      </c>
      <c r="R149" s="36" t="str">
        <f t="array" ref="R149">IF(AND($Y149="change",$H149="EUR"),IF(AND($AA149="Crédit",$O149=$O150),$R150,IF(AND($AA149="Débit",$O149=$O148),$R148)),IF(OR(AND(OR($E149&lt;&gt;"",$M149=""),$N149&lt;&gt;0),$A149=""),IFERROR(INDEX(Investment!$H:$H,MATCH($E149,Investment!$F:$F,0))),IFERROR(INDEX($R150:$R1119,MATCH(SUBSTITUTE($I149,"-","",1),$K150:$K1119,0)),INDEX($R150:$R1119,MATCH($K149,$K150:$K1119,0)))))</f>
        <v>Vanguard S&amp;P 500 UCITS</v>
      </c>
      <c r="S149" s="35" t="str">
        <f t="shared" si="2"/>
        <v>SELL</v>
      </c>
      <c r="T149" s="37">
        <f t="shared" si="3"/>
        <v>-22</v>
      </c>
      <c r="U149" s="38">
        <f t="shared" si="4"/>
        <v>47.68</v>
      </c>
      <c r="V149" s="31">
        <f t="shared" si="5"/>
        <v>1048.96</v>
      </c>
      <c r="W149" s="39" t="str">
        <f>IFERROR(__xludf.DUMMYFUNCTION(" IF(Account!$F149&lt;&gt;"""", SPLIT(Account!$F149, "" ""), """")"),"Vente")</f>
        <v>Vente</v>
      </c>
      <c r="X149" s="40">
        <f>IFERROR(__xludf.DUMMYFUNCTION("""COMPUTED_VALUE"""),22.0)</f>
        <v>22</v>
      </c>
      <c r="Y149" s="40" t="str">
        <f>IFERROR(__xludf.DUMMYFUNCTION("""COMPUTED_VALUE"""),"VANGUARD")</f>
        <v>VANGUARD</v>
      </c>
      <c r="Z149" s="40" t="str">
        <f>IFERROR(__xludf.DUMMYFUNCTION("""COMPUTED_VALUE"""),"S&amp;P500@47,68")</f>
        <v>S&amp;P500@47,68</v>
      </c>
      <c r="AA149" s="40" t="str">
        <f>IFERROR(__xludf.DUMMYFUNCTION("""COMPUTED_VALUE"""),"EUR")</f>
        <v>EUR</v>
      </c>
      <c r="AB149" s="40" t="str">
        <f>IFERROR(__xludf.DUMMYFUNCTION("""COMPUTED_VALUE"""),"(IE00B3XXRP09)")</f>
        <v>(IE00B3XXRP09)</v>
      </c>
      <c r="AC149" s="40"/>
      <c r="AD149" s="40"/>
      <c r="AE149" s="40"/>
      <c r="AF149" s="40"/>
      <c r="AG149" s="40"/>
      <c r="AH149" s="40"/>
      <c r="AI149" s="40"/>
      <c r="AJ149" s="40"/>
      <c r="AK149" s="40"/>
    </row>
    <row r="150">
      <c r="A150" s="10" t="s">
        <v>1082</v>
      </c>
      <c r="B150" s="10" t="s">
        <v>1083</v>
      </c>
      <c r="C150" s="10" t="s">
        <v>1082</v>
      </c>
      <c r="D150" s="10" t="s">
        <v>107</v>
      </c>
      <c r="E150" s="10" t="s">
        <v>108</v>
      </c>
      <c r="F150" s="12" t="s">
        <v>1084</v>
      </c>
      <c r="G150" s="10"/>
      <c r="H150" s="10" t="s">
        <v>70</v>
      </c>
      <c r="I150" s="10" t="s">
        <v>1085</v>
      </c>
      <c r="J150" s="10" t="s">
        <v>70</v>
      </c>
      <c r="K150" s="10" t="s">
        <v>1086</v>
      </c>
      <c r="L150" s="12" t="s">
        <v>1087</v>
      </c>
      <c r="M150" s="29">
        <f t="shared" si="1"/>
        <v>185</v>
      </c>
      <c r="N150" s="31">
        <f>IFERROR(__xludf.DUMMYFUNCTION("IF(Account!$F150&lt;&gt;"""", VALUE(REGEXREPLACE($I150, ""\,"", ""."")), """")"),-1350.13)</f>
        <v>-1350.13</v>
      </c>
      <c r="O150" s="33">
        <f>IF(Account!$F150&lt;&gt;"", DATEVALUE(MID($A150,4,3) &amp; LEFT($A150,3) &amp; RIGHT($A150,4)) + TIMEVALUE($B150), "")</f>
        <v>43532.46528</v>
      </c>
      <c r="P150" s="34">
        <f>IF(Account!$F150&lt;&gt;"", DATEVALUE(MID($C150,4,3) &amp; LEFT($C150,3) &amp; RIGHT($C150,4)), "")</f>
        <v>43532</v>
      </c>
      <c r="Q150" s="35" t="str">
        <f t="array" ref="Q150">IF($R150&lt;&gt;"",IFERROR(INDEX(Investment!$A:$A,MATCH($R150,Investment!$H:$H,0))),)</f>
        <v>Commodities</v>
      </c>
      <c r="R150" s="36" t="str">
        <f t="array" ref="R150">IF(AND($Y150="change",$H150="EUR"),IF(AND($AA150="Crédit",$O150=$O151),$R151,IF(AND($AA150="Débit",$O150=$O149),$R149)),IF(OR(AND(OR($E150&lt;&gt;"",$M150=""),$N150&lt;&gt;0),$A150=""),IFERROR(INDEX(Investment!$H:$H,MATCH($E150,Investment!$F:$F,0))),IFERROR(INDEX($R151:$R1119,MATCH(SUBSTITUTE($I150,"-","",1),$K151:$K1119,0)),INDEX($R151:$R1119,MATCH($K150,$K151:$K1119,0)))))</f>
        <v>ETFS All Commodities ETC</v>
      </c>
      <c r="S150" s="35" t="str">
        <f t="shared" si="2"/>
        <v>BUY</v>
      </c>
      <c r="T150" s="37">
        <f t="shared" si="3"/>
        <v>185</v>
      </c>
      <c r="U150" s="38">
        <f t="shared" si="4"/>
        <v>7.298</v>
      </c>
      <c r="V150" s="31">
        <f t="shared" si="5"/>
        <v>-1350.13</v>
      </c>
      <c r="W150" s="39" t="str">
        <f>IFERROR(__xludf.DUMMYFUNCTION(" IF(Account!$F150&lt;&gt;"""", SPLIT(Account!$F150, "" ""), """")"),"Achat")</f>
        <v>Achat</v>
      </c>
      <c r="X150" s="40">
        <f>IFERROR(__xludf.DUMMYFUNCTION("""COMPUTED_VALUE"""),185.0)</f>
        <v>185</v>
      </c>
      <c r="Y150" s="40" t="str">
        <f>IFERROR(__xludf.DUMMYFUNCTION("""COMPUTED_VALUE"""),"ETFS")</f>
        <v>ETFS</v>
      </c>
      <c r="Z150" s="40" t="str">
        <f>IFERROR(__xludf.DUMMYFUNCTION("""COMPUTED_VALUE"""),"ALL")</f>
        <v>ALL</v>
      </c>
      <c r="AA150" s="40" t="str">
        <f>IFERROR(__xludf.DUMMYFUNCTION("""COMPUTED_VALUE"""),"COMMODIT.@7,298")</f>
        <v>COMMODIT.@7,298</v>
      </c>
      <c r="AB150" s="40" t="str">
        <f>IFERROR(__xludf.DUMMYFUNCTION("""COMPUTED_VALUE"""),"EUR")</f>
        <v>EUR</v>
      </c>
      <c r="AC150" s="40" t="str">
        <f>IFERROR(__xludf.DUMMYFUNCTION("""COMPUTED_VALUE"""),"(GB00B15KY989)")</f>
        <v>(GB00B15KY989)</v>
      </c>
      <c r="AD150" s="40"/>
      <c r="AE150" s="40"/>
      <c r="AF150" s="40"/>
      <c r="AG150" s="40"/>
      <c r="AH150" s="40"/>
      <c r="AI150" s="40"/>
      <c r="AJ150" s="40"/>
      <c r="AK150" s="40"/>
    </row>
    <row r="151">
      <c r="A151" s="10" t="s">
        <v>1082</v>
      </c>
      <c r="B151" s="10" t="s">
        <v>1090</v>
      </c>
      <c r="C151" s="10" t="s">
        <v>1082</v>
      </c>
      <c r="D151" s="10" t="s">
        <v>241</v>
      </c>
      <c r="E151" s="10" t="s">
        <v>242</v>
      </c>
      <c r="F151" s="12" t="s">
        <v>1091</v>
      </c>
      <c r="G151" s="10"/>
      <c r="H151" s="10" t="s">
        <v>70</v>
      </c>
      <c r="I151" s="10" t="s">
        <v>1092</v>
      </c>
      <c r="J151" s="10" t="s">
        <v>70</v>
      </c>
      <c r="K151" s="10" t="s">
        <v>1093</v>
      </c>
      <c r="L151" s="12" t="s">
        <v>1094</v>
      </c>
      <c r="M151" s="29">
        <f t="shared" si="1"/>
        <v>-8</v>
      </c>
      <c r="N151" s="31">
        <f>IFERROR(__xludf.DUMMYFUNCTION("IF(Account!$F151&lt;&gt;"""", VALUE(REGEXREPLACE($I151, ""\,"", ""."")), """")"),1380.8)</f>
        <v>1380.8</v>
      </c>
      <c r="O151" s="33">
        <f>IF(Account!$F151&lt;&gt;"", DATEVALUE(MID($A151,4,3) &amp; LEFT($A151,3) &amp; RIGHT($A151,4)) + TIMEVALUE($B151), "")</f>
        <v>43532.45625</v>
      </c>
      <c r="P151" s="34">
        <f>IF(Account!$F151&lt;&gt;"", DATEVALUE(MID($C151,4,3) &amp; LEFT($C151,3) &amp; RIGHT($C151,4)), "")</f>
        <v>43532</v>
      </c>
      <c r="Q151" s="35" t="str">
        <f t="array" ref="Q151">IF($R151&lt;&gt;"",IFERROR(INDEX(Investment!$A:$A,MATCH($R151,Investment!$H:$H,0))),)</f>
        <v>Intermediate US bonds (7-10 year)</v>
      </c>
      <c r="R151" s="36" t="str">
        <f t="array" ref="R151">IF(AND($Y151="change",$H151="EUR"),IF(AND($AA151="Crédit",$O151=$O152),$R152,IF(AND($AA151="Débit",$O151=$O150),$R150)),IF(OR(AND(OR($E151&lt;&gt;"",$M151=""),$N151&lt;&gt;0),$A151=""),IFERROR(INDEX(Investment!$H:$H,MATCH($E151,Investment!$F:$F,0))),IFERROR(INDEX($R152:$R1119,MATCH(SUBSTITUTE($I151,"-","",1),$K152:$K1119,0)),INDEX($R152:$R1119,MATCH($K151,$K152:$K1119,0)))))</f>
        <v>iShares Treasury Bond 7-10 UCITS</v>
      </c>
      <c r="S151" s="35" t="str">
        <f t="shared" si="2"/>
        <v>SELL</v>
      </c>
      <c r="T151" s="37">
        <f t="shared" si="3"/>
        <v>-8</v>
      </c>
      <c r="U151" s="38">
        <f t="shared" si="4"/>
        <v>172.6</v>
      </c>
      <c r="V151" s="31">
        <f t="shared" si="5"/>
        <v>1380.8</v>
      </c>
      <c r="W151" s="39" t="str">
        <f>IFERROR(__xludf.DUMMYFUNCTION(" IF(Account!$F151&lt;&gt;"""", SPLIT(Account!$F151, "" ""), """")"),"Vente")</f>
        <v>Vente</v>
      </c>
      <c r="X151" s="40">
        <f>IFERROR(__xludf.DUMMYFUNCTION("""COMPUTED_VALUE"""),8.0)</f>
        <v>8</v>
      </c>
      <c r="Y151" s="40" t="str">
        <f>IFERROR(__xludf.DUMMYFUNCTION("""COMPUTED_VALUE"""),"ISHARES")</f>
        <v>ISHARES</v>
      </c>
      <c r="Z151" s="40" t="str">
        <f>IFERROR(__xludf.DUMMYFUNCTION("""COMPUTED_VALUE"""),"US")</f>
        <v>US</v>
      </c>
      <c r="AA151" s="40" t="str">
        <f>IFERROR(__xludf.DUMMYFUNCTION("""COMPUTED_VALUE"""),"T")</f>
        <v>T</v>
      </c>
      <c r="AB151" s="40" t="str">
        <f>IFERROR(__xludf.DUMMYFUNCTION("""COMPUTED_VALUE"""),"7-10@172,6")</f>
        <v>7-10@172,6</v>
      </c>
      <c r="AC151" s="40" t="str">
        <f>IFERROR(__xludf.DUMMYFUNCTION("""COMPUTED_VALUE"""),"EUR")</f>
        <v>EUR</v>
      </c>
      <c r="AD151" s="40" t="str">
        <f>IFERROR(__xludf.DUMMYFUNCTION("""COMPUTED_VALUE"""),"(IE00B1FZS798)")</f>
        <v>(IE00B1FZS798)</v>
      </c>
      <c r="AE151" s="40"/>
      <c r="AF151" s="40"/>
      <c r="AG151" s="40"/>
      <c r="AH151" s="40"/>
      <c r="AI151" s="40"/>
      <c r="AJ151" s="40"/>
      <c r="AK151" s="40"/>
    </row>
    <row r="152">
      <c r="A152" s="10" t="s">
        <v>1082</v>
      </c>
      <c r="B152" s="10" t="s">
        <v>1097</v>
      </c>
      <c r="C152" s="10" t="s">
        <v>1082</v>
      </c>
      <c r="D152" s="10" t="s">
        <v>1020</v>
      </c>
      <c r="E152" s="10" t="s">
        <v>84</v>
      </c>
      <c r="F152" s="12" t="s">
        <v>73</v>
      </c>
      <c r="G152" s="10" t="s">
        <v>1098</v>
      </c>
      <c r="H152" s="10" t="s">
        <v>74</v>
      </c>
      <c r="I152" s="10" t="s">
        <v>1099</v>
      </c>
      <c r="J152" s="10" t="s">
        <v>74</v>
      </c>
      <c r="K152" s="10" t="s">
        <v>76</v>
      </c>
      <c r="L152" s="12" t="s">
        <v>1100</v>
      </c>
      <c r="M152" s="29">
        <f t="shared" si="1"/>
        <v>0</v>
      </c>
      <c r="N152" s="31">
        <f>IFERROR(__xludf.DUMMYFUNCTION("IF(Account!$F152&lt;&gt;"""", VALUE(REGEXREPLACE($I152, ""\,"", ""."")), """")"),-4095.0)</f>
        <v>-4095</v>
      </c>
      <c r="O152" s="33">
        <f>IF(Account!$F152&lt;&gt;"", DATEVALUE(MID($A152,4,3) &amp; LEFT($A152,3) &amp; RIGHT($A152,4)) + TIMEVALUE($B152), "")</f>
        <v>43532.44861</v>
      </c>
      <c r="P152" s="34">
        <f>IF(Account!$F152&lt;&gt;"", DATEVALUE(MID($C152,4,3) &amp; LEFT($C152,3) &amp; RIGHT($C152,4)), "")</f>
        <v>43532</v>
      </c>
      <c r="Q152" s="35" t="str">
        <f t="array" ref="Q152">IF($R152&lt;&gt;"",IFERROR(INDEX(Investment!$A:$A,MATCH($R152,Investment!$H:$H,0))),)</f>
        <v>Long term US bonds (20-25 year)</v>
      </c>
      <c r="R152" s="36" t="str">
        <f t="array" ref="R152">IF(AND($Y152="change",$H152="EUR"),IF(AND($AA152="Crédit",$O152=$O153),$R153,IF(AND($AA152="Débit",$O152=$O151),$R151)),IF(OR(AND(OR($E152&lt;&gt;"",$M152=""),$N152&lt;&gt;0),$A152=""),IFERROR(INDEX(Investment!$H:$H,MATCH($E152,Investment!$F:$F,0))),IFERROR(INDEX($R153:$R1119,MATCH(SUBSTITUTE($I152,"-","",1),$K153:$K1119,0)),INDEX($R153:$R1119,MATCH($K152,$K153:$K1119,0)))))</f>
        <v>iShares Treasury Bond 20+ UCITS</v>
      </c>
      <c r="S152" s="35" t="str">
        <f t="shared" si="2"/>
        <v>SELL</v>
      </c>
      <c r="T152" s="37">
        <f t="shared" si="3"/>
        <v>-900</v>
      </c>
      <c r="U152" s="38">
        <f t="shared" si="4"/>
        <v>4.054455556</v>
      </c>
      <c r="V152" s="31">
        <f t="shared" si="5"/>
        <v>3649.01</v>
      </c>
      <c r="W152" s="39" t="str">
        <f>IFERROR(__xludf.DUMMYFUNCTION(" IF(Account!$F152&lt;&gt;"""", SPLIT(Account!$F152, "" ""), """")"),"Opération")</f>
        <v>Opération</v>
      </c>
      <c r="X152" s="40" t="str">
        <f>IFERROR(__xludf.DUMMYFUNCTION("""COMPUTED_VALUE"""),"de")</f>
        <v>de</v>
      </c>
      <c r="Y152" s="40" t="str">
        <f>IFERROR(__xludf.DUMMYFUNCTION("""COMPUTED_VALUE"""),"change")</f>
        <v>change</v>
      </c>
      <c r="Z152" s="40" t="str">
        <f>IFERROR(__xludf.DUMMYFUNCTION("""COMPUTED_VALUE"""),"-")</f>
        <v>-</v>
      </c>
      <c r="AA152" s="40" t="str">
        <f>IFERROR(__xludf.DUMMYFUNCTION("""COMPUTED_VALUE"""),"Débit")</f>
        <v>Débit</v>
      </c>
      <c r="AB152" s="40"/>
      <c r="AC152" s="40"/>
      <c r="AD152" s="40"/>
      <c r="AE152" s="40"/>
      <c r="AF152" s="40"/>
      <c r="AG152" s="40"/>
      <c r="AH152" s="40"/>
      <c r="AI152" s="40"/>
      <c r="AJ152" s="40"/>
      <c r="AK152" s="40"/>
    </row>
    <row r="153">
      <c r="A153" s="10"/>
      <c r="B153" s="10"/>
      <c r="C153" s="10"/>
      <c r="D153" s="10"/>
      <c r="E153" s="10"/>
      <c r="F153" s="12"/>
      <c r="G153" s="10"/>
      <c r="H153" s="10"/>
      <c r="I153" s="10"/>
      <c r="J153" s="10"/>
      <c r="K153" s="10"/>
      <c r="L153" s="12" t="s">
        <v>1103</v>
      </c>
      <c r="M153" s="29" t="str">
        <f t="shared" si="1"/>
        <v/>
      </c>
      <c r="N153" s="31" t="str">
        <f>IFERROR(__xludf.DUMMYFUNCTION("IF(Account!$F153&lt;&gt;"""", VALUE(REGEXREPLACE($I153, ""\,"", ""."")), """")"),"")</f>
        <v/>
      </c>
      <c r="O153" s="33" t="str">
        <f>IF(Account!$F153&lt;&gt;"", DATEVALUE(MID($A153,4,3) &amp; LEFT($A153,3) &amp; RIGHT($A153,4)) + TIMEVALUE($B153), "")</f>
        <v/>
      </c>
      <c r="P153" s="34" t="str">
        <f>IF(Account!$F153&lt;&gt;"", DATEVALUE(MID($C153,4,3) &amp; LEFT($C153,3) &amp; RIGHT($C153,4)), "")</f>
        <v/>
      </c>
      <c r="Q153" s="35" t="str">
        <f t="array" ref="Q153">IF($R153&lt;&gt;"",IFERROR(INDEX(Investment!$A:$A,MATCH($R153,Investment!$H:$H,0))),)</f>
        <v/>
      </c>
      <c r="R153" s="36" t="str">
        <f t="array" ref="R153">IF(AND($Y153="change",$H153="EUR"),IF(AND($AA153="Crédit",$O153=$O154),$R154,IF(AND($AA153="Débit",$O153=$O152),$R152)),IF(OR(AND(OR($E153&lt;&gt;"",$M153=""),$N153&lt;&gt;0),$A153=""),IFERROR(INDEX(Investment!$H:$H,MATCH($E153,Investment!$F:$F,0))),IFERROR(INDEX($R154:$R1119,MATCH(SUBSTITUTE($I153,"-","",1),$K154:$K1119,0)),INDEX($R154:$R1119,MATCH($K153,$K154:$K1119,0)))))</f>
        <v/>
      </c>
      <c r="S153" s="35" t="str">
        <f t="shared" si="2"/>
        <v/>
      </c>
      <c r="T153" s="37" t="str">
        <f t="shared" si="3"/>
        <v/>
      </c>
      <c r="U153" s="38" t="str">
        <f t="shared" si="4"/>
        <v/>
      </c>
      <c r="V153" s="31" t="str">
        <f t="shared" si="5"/>
        <v/>
      </c>
      <c r="W153" s="39" t="str">
        <f>IFERROR(__xludf.DUMMYFUNCTION(" IF(Account!$F153&lt;&gt;"""", SPLIT(Account!$F153, "" ""), """")"),"")</f>
        <v/>
      </c>
      <c r="X153" s="40"/>
      <c r="Y153" s="40"/>
      <c r="Z153" s="40"/>
      <c r="AA153" s="40"/>
      <c r="AB153" s="40"/>
      <c r="AC153" s="40"/>
      <c r="AD153" s="40"/>
      <c r="AE153" s="40"/>
      <c r="AF153" s="40"/>
      <c r="AG153" s="40"/>
      <c r="AH153" s="40"/>
      <c r="AI153" s="40"/>
      <c r="AJ153" s="40"/>
      <c r="AK153" s="40"/>
    </row>
    <row r="154">
      <c r="A154" s="10" t="s">
        <v>1082</v>
      </c>
      <c r="B154" s="10" t="s">
        <v>1097</v>
      </c>
      <c r="C154" s="10" t="s">
        <v>1082</v>
      </c>
      <c r="D154" s="10" t="s">
        <v>1020</v>
      </c>
      <c r="E154" s="10" t="s">
        <v>84</v>
      </c>
      <c r="F154" s="12" t="s">
        <v>69</v>
      </c>
      <c r="G154" s="10"/>
      <c r="H154" s="10" t="s">
        <v>70</v>
      </c>
      <c r="I154" s="10" t="s">
        <v>1105</v>
      </c>
      <c r="J154" s="10" t="s">
        <v>70</v>
      </c>
      <c r="K154" s="10" t="s">
        <v>1106</v>
      </c>
      <c r="L154" s="12" t="s">
        <v>1107</v>
      </c>
      <c r="M154" s="29">
        <f t="shared" si="1"/>
        <v>0</v>
      </c>
      <c r="N154" s="31">
        <f>IFERROR(__xludf.DUMMYFUNCTION("IF(Account!$F154&lt;&gt;"""", VALUE(REGEXREPLACE($I154, ""\,"", ""."")), """")"),3649.01)</f>
        <v>3649.01</v>
      </c>
      <c r="O154" s="33">
        <f>IF(Account!$F154&lt;&gt;"", DATEVALUE(MID($A154,4,3) &amp; LEFT($A154,3) &amp; RIGHT($A154,4)) + TIMEVALUE($B154), "")</f>
        <v>43532.44861</v>
      </c>
      <c r="P154" s="34">
        <f>IF(Account!$F154&lt;&gt;"", DATEVALUE(MID($C154,4,3) &amp; LEFT($C154,3) &amp; RIGHT($C154,4)), "")</f>
        <v>43532</v>
      </c>
      <c r="Q154" s="35" t="str">
        <f t="array" ref="Q154">IF($R154&lt;&gt;"",IFERROR(INDEX(Investment!$A:$A,MATCH($R154,Investment!$H:$H,0))),)</f>
        <v>Long term US bonds (20-25 year)</v>
      </c>
      <c r="R154" s="36" t="str">
        <f t="array" ref="R154">IF(AND($Y154="change",$H154="EUR"),IF(AND($AA154="Crédit",$O154=$O155),$R155,IF(AND($AA154="Débit",$O154=$O153),$R153)),IF(OR(AND(OR($E154&lt;&gt;"",$M154=""),$N154&lt;&gt;0),$A154=""),IFERROR(INDEX(Investment!$H:$H,MATCH($E154,Investment!$F:$F,0))),IFERROR(INDEX($R155:$R1119,MATCH(SUBSTITUTE($I154,"-","",1),$K155:$K1119,0)),INDEX($R155:$R1119,MATCH($K154,$K155:$K1119,0)))))</f>
        <v>iShares Treasury Bond 20+ UCITS</v>
      </c>
      <c r="S154" s="35" t="str">
        <f t="shared" si="2"/>
        <v>SELL</v>
      </c>
      <c r="T154" s="37">
        <f t="shared" si="3"/>
        <v>-900</v>
      </c>
      <c r="U154" s="38">
        <f t="shared" si="4"/>
        <v>4.054455556</v>
      </c>
      <c r="V154" s="31">
        <f t="shared" si="5"/>
        <v>3649.01</v>
      </c>
      <c r="W154" s="39" t="str">
        <f>IFERROR(__xludf.DUMMYFUNCTION(" IF(Account!$F154&lt;&gt;"""", SPLIT(Account!$F154, "" ""), """")"),"Operation")</f>
        <v>Operation</v>
      </c>
      <c r="X154" s="40" t="str">
        <f>IFERROR(__xludf.DUMMYFUNCTION("""COMPUTED_VALUE"""),"de")</f>
        <v>de</v>
      </c>
      <c r="Y154" s="40" t="str">
        <f>IFERROR(__xludf.DUMMYFUNCTION("""COMPUTED_VALUE"""),"change")</f>
        <v>change</v>
      </c>
      <c r="Z154" s="40" t="str">
        <f>IFERROR(__xludf.DUMMYFUNCTION("""COMPUTED_VALUE"""),"-")</f>
        <v>-</v>
      </c>
      <c r="AA154" s="40" t="str">
        <f>IFERROR(__xludf.DUMMYFUNCTION("""COMPUTED_VALUE"""),"Crédit")</f>
        <v>Crédit</v>
      </c>
      <c r="AB154" s="40"/>
      <c r="AC154" s="40"/>
      <c r="AD154" s="40"/>
      <c r="AE154" s="40"/>
      <c r="AF154" s="40"/>
      <c r="AG154" s="40"/>
      <c r="AH154" s="40"/>
      <c r="AI154" s="40"/>
      <c r="AJ154" s="40"/>
      <c r="AK154" s="40"/>
    </row>
    <row r="155">
      <c r="A155" s="10" t="s">
        <v>1082</v>
      </c>
      <c r="B155" s="10" t="s">
        <v>1097</v>
      </c>
      <c r="C155" s="10" t="s">
        <v>1082</v>
      </c>
      <c r="D155" s="10" t="s">
        <v>1020</v>
      </c>
      <c r="E155" s="10" t="s">
        <v>84</v>
      </c>
      <c r="F155" s="12" t="s">
        <v>222</v>
      </c>
      <c r="G155" s="10"/>
      <c r="H155" s="10" t="s">
        <v>70</v>
      </c>
      <c r="I155" s="10" t="s">
        <v>223</v>
      </c>
      <c r="J155" s="10" t="s">
        <v>70</v>
      </c>
      <c r="K155" s="10" t="s">
        <v>1110</v>
      </c>
      <c r="L155" s="12" t="s">
        <v>1107</v>
      </c>
      <c r="M155" s="29" t="str">
        <f t="shared" si="1"/>
        <v/>
      </c>
      <c r="N155" s="31">
        <f>IFERROR(__xludf.DUMMYFUNCTION("IF(Account!$F155&lt;&gt;"""", VALUE(REGEXREPLACE($I155, ""\,"", ""."")), """")"),-2.0)</f>
        <v>-2</v>
      </c>
      <c r="O155" s="33">
        <f>IF(Account!$F155&lt;&gt;"", DATEVALUE(MID($A155,4,3) &amp; LEFT($A155,3) &amp; RIGHT($A155,4)) + TIMEVALUE($B155), "")</f>
        <v>43532.44861</v>
      </c>
      <c r="P155" s="34">
        <f>IF(Account!$F155&lt;&gt;"", DATEVALUE(MID($C155,4,3) &amp; LEFT($C155,3) &amp; RIGHT($C155,4)), "")</f>
        <v>43532</v>
      </c>
      <c r="Q155" s="35" t="str">
        <f t="array" ref="Q155">IF($R155&lt;&gt;"",IFERROR(INDEX(Investment!$A:$A,MATCH($R155,Investment!$H:$H,0))),)</f>
        <v>Long term US bonds (20-25 year)</v>
      </c>
      <c r="R155" s="36" t="str">
        <f t="array" ref="R155">IF(AND($Y155="change",$H155="EUR"),IF(AND($AA155="Crédit",$O155=$O156),$R156,IF(AND($AA155="Débit",$O155=$O154),$R154)),IF(OR(AND(OR($E155&lt;&gt;"",$M155=""),$N155&lt;&gt;0),$A155=""),IFERROR(INDEX(Investment!$H:$H,MATCH($E155,Investment!$F:$F,0))),IFERROR(INDEX($R156:$R1119,MATCH(SUBSTITUTE($I155,"-","",1),$K156:$K1119,0)),INDEX($R156:$R1119,MATCH($K155,$K156:$K1119,0)))))</f>
        <v>iShares Treasury Bond 20+ UCITS</v>
      </c>
      <c r="S155" s="35" t="str">
        <f t="shared" si="2"/>
        <v>COST</v>
      </c>
      <c r="T155" s="37" t="str">
        <f t="shared" si="3"/>
        <v/>
      </c>
      <c r="U155" s="38" t="str">
        <f t="shared" si="4"/>
        <v/>
      </c>
      <c r="V155" s="31">
        <f t="shared" si="5"/>
        <v>-2.73</v>
      </c>
      <c r="W155" s="39" t="str">
        <f>IFERROR(__xludf.DUMMYFUNCTION(" IF(Account!$F155&lt;&gt;"""", SPLIT(Account!$F155, "" ""), """")"),"Frais")</f>
        <v>Frais</v>
      </c>
      <c r="X155" s="40" t="str">
        <f>IFERROR(__xludf.DUMMYFUNCTION("""COMPUTED_VALUE"""),"de")</f>
        <v>de</v>
      </c>
      <c r="Y155" s="40" t="str">
        <f>IFERROR(__xludf.DUMMYFUNCTION("""COMPUTED_VALUE"""),"courtage")</f>
        <v>courtage</v>
      </c>
      <c r="Z155" s="40"/>
      <c r="AA155" s="40"/>
      <c r="AB155" s="40"/>
      <c r="AC155" s="40"/>
      <c r="AD155" s="40"/>
      <c r="AE155" s="40"/>
      <c r="AF155" s="40"/>
      <c r="AG155" s="40"/>
      <c r="AH155" s="40"/>
      <c r="AI155" s="40"/>
      <c r="AJ155" s="40"/>
      <c r="AK155" s="40"/>
    </row>
    <row r="156">
      <c r="A156" s="10" t="s">
        <v>1082</v>
      </c>
      <c r="B156" s="10" t="s">
        <v>1097</v>
      </c>
      <c r="C156" s="10" t="s">
        <v>1082</v>
      </c>
      <c r="D156" s="10" t="s">
        <v>1020</v>
      </c>
      <c r="E156" s="10" t="s">
        <v>84</v>
      </c>
      <c r="F156" s="12" t="s">
        <v>222</v>
      </c>
      <c r="G156" s="10"/>
      <c r="H156" s="10" t="s">
        <v>70</v>
      </c>
      <c r="I156" s="10" t="s">
        <v>1112</v>
      </c>
      <c r="J156" s="10" t="s">
        <v>70</v>
      </c>
      <c r="K156" s="10" t="s">
        <v>1113</v>
      </c>
      <c r="L156" s="12" t="s">
        <v>1107</v>
      </c>
      <c r="M156" s="29" t="str">
        <f t="shared" si="1"/>
        <v/>
      </c>
      <c r="N156" s="31">
        <f>IFERROR(__xludf.DUMMYFUNCTION("IF(Account!$F156&lt;&gt;"""", VALUE(REGEXREPLACE($I156, ""\,"", ""."")), """")"),-0.73)</f>
        <v>-0.73</v>
      </c>
      <c r="O156" s="33">
        <f>IF(Account!$F156&lt;&gt;"", DATEVALUE(MID($A156,4,3) &amp; LEFT($A156,3) &amp; RIGHT($A156,4)) + TIMEVALUE($B156), "")</f>
        <v>43532.44861</v>
      </c>
      <c r="P156" s="34">
        <f>IF(Account!$F156&lt;&gt;"", DATEVALUE(MID($C156,4,3) &amp; LEFT($C156,3) &amp; RIGHT($C156,4)), "")</f>
        <v>43532</v>
      </c>
      <c r="Q156" s="35" t="str">
        <f t="array" ref="Q156">IF($R156&lt;&gt;"",IFERROR(INDEX(Investment!$A:$A,MATCH($R156,Investment!$H:$H,0))),)</f>
        <v>Long term US bonds (20-25 year)</v>
      </c>
      <c r="R156" s="36" t="str">
        <f t="array" ref="R156">IF(AND($Y156="change",$H156="EUR"),IF(AND($AA156="Crédit",$O156=$O157),$R157,IF(AND($AA156="Débit",$O156=$O155),$R155)),IF(OR(AND(OR($E156&lt;&gt;"",$M156=""),$N156&lt;&gt;0),$A156=""),IFERROR(INDEX(Investment!$H:$H,MATCH($E156,Investment!$F:$F,0))),IFERROR(INDEX($R157:$R1119,MATCH(SUBSTITUTE($I156,"-","",1),$K157:$K1119,0)),INDEX($R157:$R1119,MATCH($K156,$K157:$K1119,0)))))</f>
        <v>iShares Treasury Bond 20+ UCITS</v>
      </c>
      <c r="S156" s="35" t="str">
        <f t="shared" si="2"/>
        <v>COST</v>
      </c>
      <c r="T156" s="37" t="str">
        <f t="shared" si="3"/>
        <v/>
      </c>
      <c r="U156" s="38" t="str">
        <f t="shared" si="4"/>
        <v/>
      </c>
      <c r="V156" s="31">
        <f t="shared" si="5"/>
        <v>-2.73</v>
      </c>
      <c r="W156" s="39" t="str">
        <f>IFERROR(__xludf.DUMMYFUNCTION(" IF(Account!$F156&lt;&gt;"""", SPLIT(Account!$F156, "" ""), """")"),"Frais")</f>
        <v>Frais</v>
      </c>
      <c r="X156" s="40" t="str">
        <f>IFERROR(__xludf.DUMMYFUNCTION("""COMPUTED_VALUE"""),"de")</f>
        <v>de</v>
      </c>
      <c r="Y156" s="40" t="str">
        <f>IFERROR(__xludf.DUMMYFUNCTION("""COMPUTED_VALUE"""),"courtage")</f>
        <v>courtage</v>
      </c>
      <c r="Z156" s="40"/>
      <c r="AA156" s="40"/>
      <c r="AB156" s="40"/>
      <c r="AC156" s="40"/>
      <c r="AD156" s="40"/>
      <c r="AE156" s="40"/>
      <c r="AF156" s="40"/>
      <c r="AG156" s="40"/>
      <c r="AH156" s="40"/>
      <c r="AI156" s="40"/>
      <c r="AJ156" s="40"/>
      <c r="AK156" s="40"/>
    </row>
    <row r="157">
      <c r="A157" s="10" t="s">
        <v>1082</v>
      </c>
      <c r="B157" s="10" t="s">
        <v>1097</v>
      </c>
      <c r="C157" s="10" t="s">
        <v>1082</v>
      </c>
      <c r="D157" s="10" t="s">
        <v>1020</v>
      </c>
      <c r="E157" s="10" t="s">
        <v>84</v>
      </c>
      <c r="F157" s="12" t="s">
        <v>1116</v>
      </c>
      <c r="G157" s="10"/>
      <c r="H157" s="10" t="s">
        <v>74</v>
      </c>
      <c r="I157" s="10" t="s">
        <v>1117</v>
      </c>
      <c r="J157" s="10" t="s">
        <v>74</v>
      </c>
      <c r="K157" s="10" t="s">
        <v>1117</v>
      </c>
      <c r="L157" s="12" t="s">
        <v>1107</v>
      </c>
      <c r="M157" s="29">
        <f t="shared" si="1"/>
        <v>-900</v>
      </c>
      <c r="N157" s="31">
        <f>IFERROR(__xludf.DUMMYFUNCTION("IF(Account!$F157&lt;&gt;"""", VALUE(REGEXREPLACE($I157, ""\,"", ""."")), """")"),4095.0)</f>
        <v>4095</v>
      </c>
      <c r="O157" s="33">
        <f>IF(Account!$F157&lt;&gt;"", DATEVALUE(MID($A157,4,3) &amp; LEFT($A157,3) &amp; RIGHT($A157,4)) + TIMEVALUE($B157), "")</f>
        <v>43532.44861</v>
      </c>
      <c r="P157" s="34">
        <f>IF(Account!$F157&lt;&gt;"", DATEVALUE(MID($C157,4,3) &amp; LEFT($C157,3) &amp; RIGHT($C157,4)), "")</f>
        <v>43532</v>
      </c>
      <c r="Q157" s="35" t="str">
        <f t="array" ref="Q157">IF($R157&lt;&gt;"",IFERROR(INDEX(Investment!$A:$A,MATCH($R157,Investment!$H:$H,0))),)</f>
        <v>Long term US bonds (20-25 year)</v>
      </c>
      <c r="R157" s="36" t="str">
        <f t="array" ref="R157">IF(AND($Y157="change",$H157="EUR"),IF(AND($AA157="Crédit",$O157=$O158),$R158,IF(AND($AA157="Débit",$O157=$O156),$R156)),IF(OR(AND(OR($E157&lt;&gt;"",$M157=""),$N157&lt;&gt;0),$A157=""),IFERROR(INDEX(Investment!$H:$H,MATCH($E157,Investment!$F:$F,0))),IFERROR(INDEX($R158:$R1119,MATCH(SUBSTITUTE($I157,"-","",1),$K158:$K1119,0)),INDEX($R158:$R1119,MATCH($K157,$K158:$K1119,0)))))</f>
        <v>iShares Treasury Bond 20+ UCITS</v>
      </c>
      <c r="S157" s="35" t="str">
        <f t="shared" si="2"/>
        <v>SELL</v>
      </c>
      <c r="T157" s="37">
        <f t="shared" si="3"/>
        <v>-900</v>
      </c>
      <c r="U157" s="38">
        <f t="shared" si="4"/>
        <v>4.054455556</v>
      </c>
      <c r="V157" s="31">
        <f t="shared" si="5"/>
        <v>3649.01</v>
      </c>
      <c r="W157" s="39" t="str">
        <f>IFERROR(__xludf.DUMMYFUNCTION(" IF(Account!$F157&lt;&gt;"""", SPLIT(Account!$F157, "" ""), """")"),"Vente")</f>
        <v>Vente</v>
      </c>
      <c r="X157" s="40">
        <f>IFERROR(__xludf.DUMMYFUNCTION("""COMPUTED_VALUE"""),900.0)</f>
        <v>900</v>
      </c>
      <c r="Y157" s="40" t="str">
        <f>IFERROR(__xludf.DUMMYFUNCTION("""COMPUTED_VALUE"""),"ISH")</f>
        <v>ISH</v>
      </c>
      <c r="Z157" s="40" t="str">
        <f>IFERROR(__xludf.DUMMYFUNCTION("""COMPUTED_VALUE"""),"$")</f>
        <v>$</v>
      </c>
      <c r="AA157" s="40" t="str">
        <f>IFERROR(__xludf.DUMMYFUNCTION("""COMPUTED_VALUE"""),"TRESU")</f>
        <v>TRESU</v>
      </c>
      <c r="AB157" s="40" t="str">
        <f>IFERROR(__xludf.DUMMYFUNCTION("""COMPUTED_VALUE"""),"20+@4,55")</f>
        <v>20+@4,55</v>
      </c>
      <c r="AC157" s="40" t="str">
        <f>IFERROR(__xludf.DUMMYFUNCTION("""COMPUTED_VALUE"""),"USD")</f>
        <v>USD</v>
      </c>
      <c r="AD157" s="40" t="str">
        <f>IFERROR(__xludf.DUMMYFUNCTION("""COMPUTED_VALUE"""),"(IE00BSKRJZ44)")</f>
        <v>(IE00BSKRJZ44)</v>
      </c>
      <c r="AE157" s="40"/>
      <c r="AF157" s="40"/>
      <c r="AG157" s="40"/>
      <c r="AH157" s="40"/>
      <c r="AI157" s="40"/>
      <c r="AJ157" s="40"/>
      <c r="AK157" s="40"/>
    </row>
    <row r="158">
      <c r="A158" s="10" t="s">
        <v>1119</v>
      </c>
      <c r="B158" s="10" t="s">
        <v>1120</v>
      </c>
      <c r="C158" s="10" t="s">
        <v>1119</v>
      </c>
      <c r="D158" s="10" t="s">
        <v>1020</v>
      </c>
      <c r="E158" s="10" t="s">
        <v>84</v>
      </c>
      <c r="F158" s="12" t="s">
        <v>73</v>
      </c>
      <c r="G158" s="10" t="s">
        <v>1121</v>
      </c>
      <c r="H158" s="10" t="s">
        <v>74</v>
      </c>
      <c r="I158" s="10" t="s">
        <v>1122</v>
      </c>
      <c r="J158" s="10" t="s">
        <v>74</v>
      </c>
      <c r="K158" s="10" t="s">
        <v>76</v>
      </c>
      <c r="L158" s="12" t="s">
        <v>1123</v>
      </c>
      <c r="M158" s="29">
        <f t="shared" si="1"/>
        <v>0</v>
      </c>
      <c r="N158" s="31">
        <f>IFERROR(__xludf.DUMMYFUNCTION("IF(Account!$F158&lt;&gt;"""", VALUE(REGEXREPLACE($I158, ""\,"", ""."")), """")"),-45.41)</f>
        <v>-45.41</v>
      </c>
      <c r="O158" s="33">
        <f>IF(Account!$F158&lt;&gt;"", DATEVALUE(MID($A158,4,3) &amp; LEFT($A158,3) &amp; RIGHT($A158,4)) + TIMEVALUE($B158), "")</f>
        <v>43531.72847</v>
      </c>
      <c r="P158" s="34">
        <f>IF(Account!$F158&lt;&gt;"", DATEVALUE(MID($C158,4,3) &amp; LEFT($C158,3) &amp; RIGHT($C158,4)), "")</f>
        <v>43531</v>
      </c>
      <c r="Q158" s="35" t="str">
        <f t="array" ref="Q158">IF($R158&lt;&gt;"",IFERROR(INDEX(Investment!$A:$A,MATCH($R158,Investment!$H:$H,0))),)</f>
        <v>Long term US bonds (20-25 year)</v>
      </c>
      <c r="R158" s="36" t="str">
        <f t="array" ref="R158">IF(AND($Y158="change",$H158="EUR"),IF(AND($AA158="Crédit",$O158=$O159),$R159,IF(AND($AA158="Débit",$O158=$O157),$R157)),IF(OR(AND(OR($E158&lt;&gt;"",$M158=""),$N158&lt;&gt;0),$A158=""),IFERROR(INDEX(Investment!$H:$H,MATCH($E158,Investment!$F:$F,0))),IFERROR(INDEX($R159:$R1119,MATCH(SUBSTITUTE($I158,"-","",1),$K159:$K1119,0)),INDEX($R159:$R1119,MATCH($K158,$K159:$K1119,0)))))</f>
        <v>iShares Treasury Bond 20+ UCITS</v>
      </c>
      <c r="S158" s="35" t="str">
        <f t="shared" si="2"/>
        <v>SELL</v>
      </c>
      <c r="T158" s="37">
        <f t="shared" si="3"/>
        <v>-10</v>
      </c>
      <c r="U158" s="38">
        <f t="shared" si="4"/>
        <v>4.041</v>
      </c>
      <c r="V158" s="31">
        <f t="shared" si="5"/>
        <v>40.41</v>
      </c>
      <c r="W158" s="39" t="str">
        <f>IFERROR(__xludf.DUMMYFUNCTION(" IF(Account!$F158&lt;&gt;"""", SPLIT(Account!$F158, "" ""), """")"),"Opération")</f>
        <v>Opération</v>
      </c>
      <c r="X158" s="40" t="str">
        <f>IFERROR(__xludf.DUMMYFUNCTION("""COMPUTED_VALUE"""),"de")</f>
        <v>de</v>
      </c>
      <c r="Y158" s="40" t="str">
        <f>IFERROR(__xludf.DUMMYFUNCTION("""COMPUTED_VALUE"""),"change")</f>
        <v>change</v>
      </c>
      <c r="Z158" s="40" t="str">
        <f>IFERROR(__xludf.DUMMYFUNCTION("""COMPUTED_VALUE"""),"-")</f>
        <v>-</v>
      </c>
      <c r="AA158" s="40" t="str">
        <f>IFERROR(__xludf.DUMMYFUNCTION("""COMPUTED_VALUE"""),"Débit")</f>
        <v>Débit</v>
      </c>
      <c r="AB158" s="40"/>
      <c r="AC158" s="40"/>
      <c r="AD158" s="40"/>
      <c r="AE158" s="40"/>
      <c r="AF158" s="40"/>
      <c r="AG158" s="40"/>
      <c r="AH158" s="40"/>
      <c r="AI158" s="40"/>
      <c r="AJ158" s="40"/>
      <c r="AK158" s="40"/>
    </row>
    <row r="159">
      <c r="A159" s="10" t="s">
        <v>1119</v>
      </c>
      <c r="B159" s="10" t="s">
        <v>1120</v>
      </c>
      <c r="C159" s="10" t="s">
        <v>1119</v>
      </c>
      <c r="D159" s="10" t="s">
        <v>1020</v>
      </c>
      <c r="E159" s="10" t="s">
        <v>84</v>
      </c>
      <c r="F159" s="12" t="s">
        <v>69</v>
      </c>
      <c r="G159" s="10"/>
      <c r="H159" s="10" t="s">
        <v>70</v>
      </c>
      <c r="I159" s="10" t="s">
        <v>1125</v>
      </c>
      <c r="J159" s="10" t="s">
        <v>70</v>
      </c>
      <c r="K159" s="10" t="s">
        <v>1126</v>
      </c>
      <c r="L159" s="12" t="s">
        <v>1123</v>
      </c>
      <c r="M159" s="29">
        <f t="shared" si="1"/>
        <v>0</v>
      </c>
      <c r="N159" s="31">
        <f>IFERROR(__xludf.DUMMYFUNCTION("IF(Account!$F159&lt;&gt;"""", VALUE(REGEXREPLACE($I159, ""\,"", ""."")), """")"),40.41)</f>
        <v>40.41</v>
      </c>
      <c r="O159" s="33">
        <f>IF(Account!$F159&lt;&gt;"", DATEVALUE(MID($A159,4,3) &amp; LEFT($A159,3) &amp; RIGHT($A159,4)) + TIMEVALUE($B159), "")</f>
        <v>43531.72847</v>
      </c>
      <c r="P159" s="34">
        <f>IF(Account!$F159&lt;&gt;"", DATEVALUE(MID($C159,4,3) &amp; LEFT($C159,3) &amp; RIGHT($C159,4)), "")</f>
        <v>43531</v>
      </c>
      <c r="Q159" s="35" t="str">
        <f t="array" ref="Q159">IF($R159&lt;&gt;"",IFERROR(INDEX(Investment!$A:$A,MATCH($R159,Investment!$H:$H,0))),)</f>
        <v>Long term US bonds (20-25 year)</v>
      </c>
      <c r="R159" s="36" t="str">
        <f t="array" ref="R159">IF(AND($Y159="change",$H159="EUR"),IF(AND($AA159="Crédit",$O159=$O160),$R160,IF(AND($AA159="Débit",$O159=$O158),$R158)),IF(OR(AND(OR($E159&lt;&gt;"",$M159=""),$N159&lt;&gt;0),$A159=""),IFERROR(INDEX(Investment!$H:$H,MATCH($E159,Investment!$F:$F,0))),IFERROR(INDEX($R160:$R1119,MATCH(SUBSTITUTE($I159,"-","",1),$K160:$K1119,0)),INDEX($R160:$R1119,MATCH($K159,$K160:$K1119,0)))))</f>
        <v>iShares Treasury Bond 20+ UCITS</v>
      </c>
      <c r="S159" s="35" t="str">
        <f t="shared" si="2"/>
        <v>SELL</v>
      </c>
      <c r="T159" s="37">
        <f t="shared" si="3"/>
        <v>-10</v>
      </c>
      <c r="U159" s="38">
        <f t="shared" si="4"/>
        <v>4.041</v>
      </c>
      <c r="V159" s="31">
        <f t="shared" si="5"/>
        <v>40.41</v>
      </c>
      <c r="W159" s="39" t="str">
        <f>IFERROR(__xludf.DUMMYFUNCTION(" IF(Account!$F159&lt;&gt;"""", SPLIT(Account!$F159, "" ""), """")"),"Operation")</f>
        <v>Operation</v>
      </c>
      <c r="X159" s="40" t="str">
        <f>IFERROR(__xludf.DUMMYFUNCTION("""COMPUTED_VALUE"""),"de")</f>
        <v>de</v>
      </c>
      <c r="Y159" s="40" t="str">
        <f>IFERROR(__xludf.DUMMYFUNCTION("""COMPUTED_VALUE"""),"change")</f>
        <v>change</v>
      </c>
      <c r="Z159" s="40" t="str">
        <f>IFERROR(__xludf.DUMMYFUNCTION("""COMPUTED_VALUE"""),"-")</f>
        <v>-</v>
      </c>
      <c r="AA159" s="40" t="str">
        <f>IFERROR(__xludf.DUMMYFUNCTION("""COMPUTED_VALUE"""),"Crédit")</f>
        <v>Crédit</v>
      </c>
      <c r="AB159" s="40"/>
      <c r="AC159" s="40"/>
      <c r="AD159" s="40"/>
      <c r="AE159" s="40"/>
      <c r="AF159" s="40"/>
      <c r="AG159" s="40"/>
      <c r="AH159" s="40"/>
      <c r="AI159" s="40"/>
      <c r="AJ159" s="40"/>
      <c r="AK159" s="40"/>
    </row>
    <row r="160">
      <c r="A160" s="10" t="s">
        <v>1119</v>
      </c>
      <c r="B160" s="10" t="s">
        <v>1120</v>
      </c>
      <c r="C160" s="10" t="s">
        <v>1119</v>
      </c>
      <c r="D160" s="10" t="s">
        <v>1020</v>
      </c>
      <c r="E160" s="10" t="s">
        <v>84</v>
      </c>
      <c r="F160" s="12" t="s">
        <v>222</v>
      </c>
      <c r="G160" s="10"/>
      <c r="H160" s="10" t="s">
        <v>70</v>
      </c>
      <c r="I160" s="10" t="s">
        <v>223</v>
      </c>
      <c r="J160" s="10" t="s">
        <v>70</v>
      </c>
      <c r="K160" s="10" t="s">
        <v>1129</v>
      </c>
      <c r="L160" s="12" t="s">
        <v>1123</v>
      </c>
      <c r="M160" s="29" t="str">
        <f t="shared" si="1"/>
        <v/>
      </c>
      <c r="N160" s="31">
        <f>IFERROR(__xludf.DUMMYFUNCTION("IF(Account!$F160&lt;&gt;"""", VALUE(REGEXREPLACE($I160, ""\,"", ""."")), """")"),-2.0)</f>
        <v>-2</v>
      </c>
      <c r="O160" s="33">
        <f>IF(Account!$F160&lt;&gt;"", DATEVALUE(MID($A160,4,3) &amp; LEFT($A160,3) &amp; RIGHT($A160,4)) + TIMEVALUE($B160), "")</f>
        <v>43531.72847</v>
      </c>
      <c r="P160" s="34">
        <f>IF(Account!$F160&lt;&gt;"", DATEVALUE(MID($C160,4,3) &amp; LEFT($C160,3) &amp; RIGHT($C160,4)), "")</f>
        <v>43531</v>
      </c>
      <c r="Q160" s="35" t="str">
        <f t="array" ref="Q160">IF($R160&lt;&gt;"",IFERROR(INDEX(Investment!$A:$A,MATCH($R160,Investment!$H:$H,0))),)</f>
        <v>Long term US bonds (20-25 year)</v>
      </c>
      <c r="R160" s="36" t="str">
        <f t="array" ref="R160">IF(AND($Y160="change",$H160="EUR"),IF(AND($AA160="Crédit",$O160=$O161),$R161,IF(AND($AA160="Débit",$O160=$O159),$R159)),IF(OR(AND(OR($E160&lt;&gt;"",$M160=""),$N160&lt;&gt;0),$A160=""),IFERROR(INDEX(Investment!$H:$H,MATCH($E160,Investment!$F:$F,0))),IFERROR(INDEX($R161:$R1119,MATCH(SUBSTITUTE($I160,"-","",1),$K161:$K1119,0)),INDEX($R161:$R1119,MATCH($K160,$K161:$K1119,0)))))</f>
        <v>iShares Treasury Bond 20+ UCITS</v>
      </c>
      <c r="S160" s="35" t="str">
        <f t="shared" si="2"/>
        <v>COST</v>
      </c>
      <c r="T160" s="37" t="str">
        <f t="shared" si="3"/>
        <v/>
      </c>
      <c r="U160" s="38" t="str">
        <f t="shared" si="4"/>
        <v/>
      </c>
      <c r="V160" s="31">
        <f t="shared" si="5"/>
        <v>-2.01</v>
      </c>
      <c r="W160" s="39" t="str">
        <f>IFERROR(__xludf.DUMMYFUNCTION(" IF(Account!$F160&lt;&gt;"""", SPLIT(Account!$F160, "" ""), """")"),"Frais")</f>
        <v>Frais</v>
      </c>
      <c r="X160" s="40" t="str">
        <f>IFERROR(__xludf.DUMMYFUNCTION("""COMPUTED_VALUE"""),"de")</f>
        <v>de</v>
      </c>
      <c r="Y160" s="40" t="str">
        <f>IFERROR(__xludf.DUMMYFUNCTION("""COMPUTED_VALUE"""),"courtage")</f>
        <v>courtage</v>
      </c>
      <c r="Z160" s="40"/>
      <c r="AA160" s="40"/>
      <c r="AB160" s="40"/>
      <c r="AC160" s="40"/>
      <c r="AD160" s="40"/>
      <c r="AE160" s="40"/>
      <c r="AF160" s="40"/>
      <c r="AG160" s="40"/>
      <c r="AH160" s="40"/>
      <c r="AI160" s="40"/>
      <c r="AJ160" s="40"/>
      <c r="AK160" s="40"/>
    </row>
    <row r="161">
      <c r="A161" s="10" t="s">
        <v>1119</v>
      </c>
      <c r="B161" s="10" t="s">
        <v>1120</v>
      </c>
      <c r="C161" s="10" t="s">
        <v>1119</v>
      </c>
      <c r="D161" s="10" t="s">
        <v>1020</v>
      </c>
      <c r="E161" s="10" t="s">
        <v>84</v>
      </c>
      <c r="F161" s="12" t="s">
        <v>222</v>
      </c>
      <c r="G161" s="10"/>
      <c r="H161" s="10" t="s">
        <v>70</v>
      </c>
      <c r="I161" s="10" t="s">
        <v>1131</v>
      </c>
      <c r="J161" s="10" t="s">
        <v>70</v>
      </c>
      <c r="K161" s="10" t="s">
        <v>1132</v>
      </c>
      <c r="L161" s="12" t="s">
        <v>1123</v>
      </c>
      <c r="M161" s="29" t="str">
        <f t="shared" si="1"/>
        <v/>
      </c>
      <c r="N161" s="31">
        <f>IFERROR(__xludf.DUMMYFUNCTION("IF(Account!$F161&lt;&gt;"""", VALUE(REGEXREPLACE($I161, ""\,"", ""."")), """")"),-0.01)</f>
        <v>-0.01</v>
      </c>
      <c r="O161" s="33">
        <f>IF(Account!$F161&lt;&gt;"", DATEVALUE(MID($A161,4,3) &amp; LEFT($A161,3) &amp; RIGHT($A161,4)) + TIMEVALUE($B161), "")</f>
        <v>43531.72847</v>
      </c>
      <c r="P161" s="34">
        <f>IF(Account!$F161&lt;&gt;"", DATEVALUE(MID($C161,4,3) &amp; LEFT($C161,3) &amp; RIGHT($C161,4)), "")</f>
        <v>43531</v>
      </c>
      <c r="Q161" s="35" t="str">
        <f t="array" ref="Q161">IF($R161&lt;&gt;"",IFERROR(INDEX(Investment!$A:$A,MATCH($R161,Investment!$H:$H,0))),)</f>
        <v>Long term US bonds (20-25 year)</v>
      </c>
      <c r="R161" s="36" t="str">
        <f t="array" ref="R161">IF(AND($Y161="change",$H161="EUR"),IF(AND($AA161="Crédit",$O161=$O162),$R162,IF(AND($AA161="Débit",$O161=$O160),$R160)),IF(OR(AND(OR($E161&lt;&gt;"",$M161=""),$N161&lt;&gt;0),$A161=""),IFERROR(INDEX(Investment!$H:$H,MATCH($E161,Investment!$F:$F,0))),IFERROR(INDEX($R162:$R1119,MATCH(SUBSTITUTE($I161,"-","",1),$K162:$K1119,0)),INDEX($R162:$R1119,MATCH($K161,$K162:$K1119,0)))))</f>
        <v>iShares Treasury Bond 20+ UCITS</v>
      </c>
      <c r="S161" s="35" t="str">
        <f t="shared" si="2"/>
        <v>COST</v>
      </c>
      <c r="T161" s="37" t="str">
        <f t="shared" si="3"/>
        <v/>
      </c>
      <c r="U161" s="38" t="str">
        <f t="shared" si="4"/>
        <v/>
      </c>
      <c r="V161" s="31">
        <f t="shared" si="5"/>
        <v>-2.01</v>
      </c>
      <c r="W161" s="39" t="str">
        <f>IFERROR(__xludf.DUMMYFUNCTION(" IF(Account!$F161&lt;&gt;"""", SPLIT(Account!$F161, "" ""), """")"),"Frais")</f>
        <v>Frais</v>
      </c>
      <c r="X161" s="40" t="str">
        <f>IFERROR(__xludf.DUMMYFUNCTION("""COMPUTED_VALUE"""),"de")</f>
        <v>de</v>
      </c>
      <c r="Y161" s="40" t="str">
        <f>IFERROR(__xludf.DUMMYFUNCTION("""COMPUTED_VALUE"""),"courtage")</f>
        <v>courtage</v>
      </c>
      <c r="Z161" s="40"/>
      <c r="AA161" s="40"/>
      <c r="AB161" s="40"/>
      <c r="AC161" s="40"/>
      <c r="AD161" s="40"/>
      <c r="AE161" s="40"/>
      <c r="AF161" s="40"/>
      <c r="AG161" s="40"/>
      <c r="AH161" s="40"/>
      <c r="AI161" s="40"/>
      <c r="AJ161" s="40"/>
      <c r="AK161" s="40"/>
    </row>
    <row r="162">
      <c r="A162" s="10" t="s">
        <v>1119</v>
      </c>
      <c r="B162" s="10" t="s">
        <v>1120</v>
      </c>
      <c r="C162" s="10" t="s">
        <v>1119</v>
      </c>
      <c r="D162" s="10" t="s">
        <v>1020</v>
      </c>
      <c r="E162" s="10" t="s">
        <v>84</v>
      </c>
      <c r="F162" s="12" t="s">
        <v>1134</v>
      </c>
      <c r="G162" s="10"/>
      <c r="H162" s="10" t="s">
        <v>74</v>
      </c>
      <c r="I162" s="10" t="s">
        <v>1135</v>
      </c>
      <c r="J162" s="10" t="s">
        <v>74</v>
      </c>
      <c r="K162" s="10" t="s">
        <v>1135</v>
      </c>
      <c r="L162" s="12" t="s">
        <v>1123</v>
      </c>
      <c r="M162" s="29">
        <f t="shared" si="1"/>
        <v>-10</v>
      </c>
      <c r="N162" s="31">
        <f>IFERROR(__xludf.DUMMYFUNCTION("IF(Account!$F162&lt;&gt;"""", VALUE(REGEXREPLACE($I162, ""\,"", ""."")), """")"),45.41)</f>
        <v>45.41</v>
      </c>
      <c r="O162" s="33">
        <f>IF(Account!$F162&lt;&gt;"", DATEVALUE(MID($A162,4,3) &amp; LEFT($A162,3) &amp; RIGHT($A162,4)) + TIMEVALUE($B162), "")</f>
        <v>43531.72847</v>
      </c>
      <c r="P162" s="34">
        <f>IF(Account!$F162&lt;&gt;"", DATEVALUE(MID($C162,4,3) &amp; LEFT($C162,3) &amp; RIGHT($C162,4)), "")</f>
        <v>43531</v>
      </c>
      <c r="Q162" s="35" t="str">
        <f t="array" ref="Q162">IF($R162&lt;&gt;"",IFERROR(INDEX(Investment!$A:$A,MATCH($R162,Investment!$H:$H,0))),)</f>
        <v>Long term US bonds (20-25 year)</v>
      </c>
      <c r="R162" s="36" t="str">
        <f t="array" ref="R162">IF(AND($Y162="change",$H162="EUR"),IF(AND($AA162="Crédit",$O162=$O163),$R163,IF(AND($AA162="Débit",$O162=$O161),$R161)),IF(OR(AND(OR($E162&lt;&gt;"",$M162=""),$N162&lt;&gt;0),$A162=""),IFERROR(INDEX(Investment!$H:$H,MATCH($E162,Investment!$F:$F,0))),IFERROR(INDEX($R163:$R1119,MATCH(SUBSTITUTE($I162,"-","",1),$K163:$K1119,0)),INDEX($R163:$R1119,MATCH($K162,$K163:$K1119,0)))))</f>
        <v>iShares Treasury Bond 20+ UCITS</v>
      </c>
      <c r="S162" s="35" t="str">
        <f t="shared" si="2"/>
        <v>SELL</v>
      </c>
      <c r="T162" s="37">
        <f t="shared" si="3"/>
        <v>-10</v>
      </c>
      <c r="U162" s="38">
        <f t="shared" si="4"/>
        <v>4.041</v>
      </c>
      <c r="V162" s="31">
        <f t="shared" si="5"/>
        <v>40.41</v>
      </c>
      <c r="W162" s="39" t="str">
        <f>IFERROR(__xludf.DUMMYFUNCTION(" IF(Account!$F162&lt;&gt;"""", SPLIT(Account!$F162, "" ""), """")"),"Vente")</f>
        <v>Vente</v>
      </c>
      <c r="X162" s="40">
        <f>IFERROR(__xludf.DUMMYFUNCTION("""COMPUTED_VALUE"""),10.0)</f>
        <v>10</v>
      </c>
      <c r="Y162" s="40" t="str">
        <f>IFERROR(__xludf.DUMMYFUNCTION("""COMPUTED_VALUE"""),"ISH")</f>
        <v>ISH</v>
      </c>
      <c r="Z162" s="40" t="str">
        <f>IFERROR(__xludf.DUMMYFUNCTION("""COMPUTED_VALUE"""),"$")</f>
        <v>$</v>
      </c>
      <c r="AA162" s="40" t="str">
        <f>IFERROR(__xludf.DUMMYFUNCTION("""COMPUTED_VALUE"""),"TRESU")</f>
        <v>TRESU</v>
      </c>
      <c r="AB162" s="40" t="str">
        <f>IFERROR(__xludf.DUMMYFUNCTION("""COMPUTED_VALUE"""),"20+@4,541")</f>
        <v>20+@4,541</v>
      </c>
      <c r="AC162" s="40" t="str">
        <f>IFERROR(__xludf.DUMMYFUNCTION("""COMPUTED_VALUE"""),"USD")</f>
        <v>USD</v>
      </c>
      <c r="AD162" s="40" t="str">
        <f>IFERROR(__xludf.DUMMYFUNCTION("""COMPUTED_VALUE"""),"(IE00BSKRJZ44)")</f>
        <v>(IE00BSKRJZ44)</v>
      </c>
      <c r="AE162" s="40"/>
      <c r="AF162" s="40"/>
      <c r="AG162" s="40"/>
      <c r="AH162" s="40"/>
      <c r="AI162" s="40"/>
      <c r="AJ162" s="40"/>
      <c r="AK162" s="40"/>
    </row>
    <row r="163">
      <c r="A163" s="10" t="s">
        <v>1138</v>
      </c>
      <c r="B163" s="10" t="s">
        <v>1139</v>
      </c>
      <c r="C163" s="10" t="s">
        <v>1138</v>
      </c>
      <c r="D163" s="10" t="s">
        <v>241</v>
      </c>
      <c r="E163" s="10" t="s">
        <v>242</v>
      </c>
      <c r="F163" s="12" t="s">
        <v>1140</v>
      </c>
      <c r="G163" s="10"/>
      <c r="H163" s="10" t="s">
        <v>70</v>
      </c>
      <c r="I163" s="10" t="s">
        <v>1141</v>
      </c>
      <c r="J163" s="10" t="s">
        <v>70</v>
      </c>
      <c r="K163" s="10" t="s">
        <v>1142</v>
      </c>
      <c r="L163" s="12" t="s">
        <v>1143</v>
      </c>
      <c r="M163" s="29">
        <f t="shared" si="1"/>
        <v>-6</v>
      </c>
      <c r="N163" s="31">
        <f>IFERROR(__xludf.DUMMYFUNCTION("IF(Account!$F163&lt;&gt;"""", VALUE(REGEXREPLACE($I163, ""\,"", ""."")), """")"),1019.4)</f>
        <v>1019.4</v>
      </c>
      <c r="O163" s="33">
        <f>IF(Account!$F163&lt;&gt;"", DATEVALUE(MID($A163,4,3) &amp; LEFT($A163,3) &amp; RIGHT($A163,4)) + TIMEVALUE($B163), "")</f>
        <v>43530.64306</v>
      </c>
      <c r="P163" s="34">
        <f>IF(Account!$F163&lt;&gt;"", DATEVALUE(MID($C163,4,3) &amp; LEFT($C163,3) &amp; RIGHT($C163,4)), "")</f>
        <v>43530</v>
      </c>
      <c r="Q163" s="35" t="str">
        <f t="array" ref="Q163">IF($R163&lt;&gt;"",IFERROR(INDEX(Investment!$A:$A,MATCH($R163,Investment!$H:$H,0))),)</f>
        <v>Intermediate US bonds (7-10 year)</v>
      </c>
      <c r="R163" s="36" t="str">
        <f t="array" ref="R163">IF(AND($Y163="change",$H163="EUR"),IF(AND($AA163="Crédit",$O163=$O164),$R164,IF(AND($AA163="Débit",$O163=$O162),$R162)),IF(OR(AND(OR($E163&lt;&gt;"",$M163=""),$N163&lt;&gt;0),$A163=""),IFERROR(INDEX(Investment!$H:$H,MATCH($E163,Investment!$F:$F,0))),IFERROR(INDEX($R164:$R1119,MATCH(SUBSTITUTE($I163,"-","",1),$K164:$K1119,0)),INDEX($R164:$R1119,MATCH($K163,$K164:$K1119,0)))))</f>
        <v>iShares Treasury Bond 7-10 UCITS</v>
      </c>
      <c r="S163" s="35" t="str">
        <f t="shared" si="2"/>
        <v>SELL</v>
      </c>
      <c r="T163" s="37">
        <f t="shared" si="3"/>
        <v>-6</v>
      </c>
      <c r="U163" s="38">
        <f t="shared" si="4"/>
        <v>169.9</v>
      </c>
      <c r="V163" s="31">
        <f t="shared" si="5"/>
        <v>1019.4</v>
      </c>
      <c r="W163" s="39" t="str">
        <f>IFERROR(__xludf.DUMMYFUNCTION(" IF(Account!$F163&lt;&gt;"""", SPLIT(Account!$F163, "" ""), """")"),"Vente")</f>
        <v>Vente</v>
      </c>
      <c r="X163" s="40">
        <f>IFERROR(__xludf.DUMMYFUNCTION("""COMPUTED_VALUE"""),6.0)</f>
        <v>6</v>
      </c>
      <c r="Y163" s="40" t="str">
        <f>IFERROR(__xludf.DUMMYFUNCTION("""COMPUTED_VALUE"""),"ISHARES")</f>
        <v>ISHARES</v>
      </c>
      <c r="Z163" s="40" t="str">
        <f>IFERROR(__xludf.DUMMYFUNCTION("""COMPUTED_VALUE"""),"US")</f>
        <v>US</v>
      </c>
      <c r="AA163" s="40" t="str">
        <f>IFERROR(__xludf.DUMMYFUNCTION("""COMPUTED_VALUE"""),"T")</f>
        <v>T</v>
      </c>
      <c r="AB163" s="40" t="str">
        <f>IFERROR(__xludf.DUMMYFUNCTION("""COMPUTED_VALUE"""),"7-10@169,9")</f>
        <v>7-10@169,9</v>
      </c>
      <c r="AC163" s="40" t="str">
        <f>IFERROR(__xludf.DUMMYFUNCTION("""COMPUTED_VALUE"""),"EUR")</f>
        <v>EUR</v>
      </c>
      <c r="AD163" s="40" t="str">
        <f>IFERROR(__xludf.DUMMYFUNCTION("""COMPUTED_VALUE"""),"(IE00B1FZS798)")</f>
        <v>(IE00B1FZS798)</v>
      </c>
      <c r="AE163" s="40"/>
      <c r="AF163" s="40"/>
      <c r="AG163" s="40"/>
      <c r="AH163" s="40"/>
      <c r="AI163" s="40"/>
      <c r="AJ163" s="40"/>
      <c r="AK163" s="40"/>
    </row>
    <row r="164">
      <c r="A164" s="10" t="s">
        <v>1145</v>
      </c>
      <c r="B164" s="10" t="s">
        <v>1146</v>
      </c>
      <c r="C164" s="10" t="s">
        <v>1145</v>
      </c>
      <c r="D164" s="10"/>
      <c r="E164" s="10"/>
      <c r="F164" s="12" t="s">
        <v>188</v>
      </c>
      <c r="G164" s="10"/>
      <c r="H164" s="10" t="s">
        <v>70</v>
      </c>
      <c r="I164" s="10" t="s">
        <v>1147</v>
      </c>
      <c r="J164" s="10" t="s">
        <v>70</v>
      </c>
      <c r="K164" s="10" t="s">
        <v>1148</v>
      </c>
      <c r="L164" s="12"/>
      <c r="M164" s="29" t="str">
        <f t="shared" si="1"/>
        <v/>
      </c>
      <c r="N164" s="31">
        <f>IFERROR(__xludf.DUMMYFUNCTION("IF(Account!$F164&lt;&gt;"""", VALUE(REGEXREPLACE($I164, ""\,"", ""."")), """")"),-700.0)</f>
        <v>-700</v>
      </c>
      <c r="O164" s="33">
        <f>IF(Account!$F164&lt;&gt;"", DATEVALUE(MID($A164,4,3) &amp; LEFT($A164,3) &amp; RIGHT($A164,4)) + TIMEVALUE($B164), "")</f>
        <v>43529.53542</v>
      </c>
      <c r="P164" s="34">
        <f>IF(Account!$F164&lt;&gt;"", DATEVALUE(MID($C164,4,3) &amp; LEFT($C164,3) &amp; RIGHT($C164,4)), "")</f>
        <v>43529</v>
      </c>
      <c r="Q164" s="35" t="str">
        <f t="array" ref="Q164">IF($R164&lt;&gt;"",IFERROR(INDEX(Investment!$A:$A,MATCH($R164,Investment!$H:$H,0))),)</f>
        <v/>
      </c>
      <c r="R164" s="36" t="str">
        <f t="array" ref="R164">IF(AND($Y164="change",$H164="EUR"),IF(AND($AA164="Crédit",$O164=$O165),$R165,IF(AND($AA164="Débit",$O164=$O163),$R163)),IF(OR(AND(OR($E164&lt;&gt;"",$M164=""),$N164&lt;&gt;0),$A164=""),IFERROR(INDEX(Investment!$H:$H,MATCH($E164,Investment!$F:$F,0))),IFERROR(INDEX($R165:$R1119,MATCH(SUBSTITUTE($I164,"-","",1),$K165:$K1119,0)),INDEX($R165:$R1119,MATCH($K164,$K165:$K1119,0)))))</f>
        <v/>
      </c>
      <c r="S164" s="35" t="str">
        <f t="shared" si="2"/>
        <v>APPROVISIONNEMENT</v>
      </c>
      <c r="T164" s="37" t="str">
        <f t="shared" si="3"/>
        <v/>
      </c>
      <c r="U164" s="38" t="str">
        <f t="shared" si="4"/>
        <v/>
      </c>
      <c r="V164" s="31">
        <f t="shared" si="5"/>
        <v>-700</v>
      </c>
      <c r="W164" s="39" t="str">
        <f>IFERROR(__xludf.DUMMYFUNCTION(" IF(Account!$F164&lt;&gt;"""", SPLIT(Account!$F164, "" ""), """")"),"Retrait")</f>
        <v>Retrait</v>
      </c>
      <c r="X164" s="40" t="str">
        <f>IFERROR(__xludf.DUMMYFUNCTION("""COMPUTED_VALUE"""),"de")</f>
        <v>de</v>
      </c>
      <c r="Y164" s="40" t="str">
        <f>IFERROR(__xludf.DUMMYFUNCTION("""COMPUTED_VALUE"""),"fonds")</f>
        <v>fonds</v>
      </c>
      <c r="Z164" s="40"/>
      <c r="AA164" s="40"/>
      <c r="AB164" s="40"/>
      <c r="AC164" s="40"/>
      <c r="AD164" s="40"/>
      <c r="AE164" s="40"/>
      <c r="AF164" s="40"/>
      <c r="AG164" s="40"/>
      <c r="AH164" s="40"/>
      <c r="AI164" s="40"/>
      <c r="AJ164" s="40"/>
      <c r="AK164" s="40"/>
    </row>
    <row r="165">
      <c r="A165" s="10" t="s">
        <v>1151</v>
      </c>
      <c r="B165" s="10" t="s">
        <v>1152</v>
      </c>
      <c r="C165" s="10" t="s">
        <v>1153</v>
      </c>
      <c r="D165" s="10"/>
      <c r="E165" s="10"/>
      <c r="F165" s="12" t="s">
        <v>195</v>
      </c>
      <c r="G165" s="300"/>
      <c r="H165" s="10" t="s">
        <v>70</v>
      </c>
      <c r="I165" s="10" t="s">
        <v>1154</v>
      </c>
      <c r="J165" s="10" t="s">
        <v>70</v>
      </c>
      <c r="K165" s="10" t="s">
        <v>1155</v>
      </c>
      <c r="L165" s="12"/>
      <c r="M165" s="29" t="str">
        <f t="shared" si="1"/>
        <v/>
      </c>
      <c r="N165" s="31">
        <f>IFERROR(__xludf.DUMMYFUNCTION("IF(Account!$F165&lt;&gt;"""", VALUE(REGEXREPLACE($I165, ""\,"", ""."")), """")"),-534.72)</f>
        <v>-534.72</v>
      </c>
      <c r="O165" s="33">
        <f>IF(Account!$F165&lt;&gt;"", DATEVALUE(MID($A165,4,3) &amp; LEFT($A165,3) &amp; RIGHT($A165,4)) + TIMEVALUE($B165), "")</f>
        <v>43528.52986</v>
      </c>
      <c r="P165" s="34">
        <f>IF(Account!$F165&lt;&gt;"", DATEVALUE(MID($C165,4,3) &amp; LEFT($C165,3) &amp; RIGHT($C165,4)), "")</f>
        <v>43524</v>
      </c>
      <c r="Q165" s="35" t="str">
        <f t="array" ref="Q165">IF($R165&lt;&gt;"",IFERROR(INDEX(Investment!$A:$A,MATCH($R165,Investment!$H:$H,0))),)</f>
        <v/>
      </c>
      <c r="R165" s="36" t="str">
        <f t="array" ref="R165">IF(AND($Y165="change",$H165="EUR"),IF(AND($AA165="Crédit",$O165=$O166),$R166,IF(AND($AA165="Débit",$O165=$O164),$R164)),IF(OR(AND(OR($E165&lt;&gt;"",$M165=""),$N165&lt;&gt;0),$A165=""),IFERROR(INDEX(Investment!$H:$H,MATCH($E165,Investment!$F:$F,0))),IFERROR(INDEX($R166:$R1119,MATCH(SUBSTITUTE($I165,"-","",1),$K166:$K1119,0)),INDEX($R166:$R1119,MATCH($K165,$K166:$K1119,0)))))</f>
        <v/>
      </c>
      <c r="S165" s="35" t="str">
        <f t="shared" si="2"/>
        <v>COST</v>
      </c>
      <c r="T165" s="37" t="str">
        <f t="shared" si="3"/>
        <v/>
      </c>
      <c r="U165" s="38" t="str">
        <f t="shared" si="4"/>
        <v/>
      </c>
      <c r="V165" s="31">
        <f t="shared" si="5"/>
        <v>-534.72</v>
      </c>
      <c r="W165" s="39" t="str">
        <f>IFERROR(__xludf.DUMMYFUNCTION(" IF(Account!$F165&lt;&gt;"""", SPLIT(Account!$F165, "" ""), """")"),"Intérêts")</f>
        <v>Intérêts</v>
      </c>
      <c r="X165" s="40" t="str">
        <f>IFERROR(__xludf.DUMMYFUNCTION("""COMPUTED_VALUE"""),"débiteurs")</f>
        <v>débiteurs</v>
      </c>
      <c r="Y165" s="40" t="str">
        <f>IFERROR(__xludf.DUMMYFUNCTION("""COMPUTED_VALUE"""),"mensuels")</f>
        <v>mensuels</v>
      </c>
      <c r="Z165" s="40" t="str">
        <f>IFERROR(__xludf.DUMMYFUNCTION("""COMPUTED_VALUE"""),"(Débit")</f>
        <v>(Débit</v>
      </c>
      <c r="AA165" s="40" t="str">
        <f>IFERROR(__xludf.DUMMYFUNCTION("""COMPUTED_VALUE"""),"Argent)")</f>
        <v>Argent)</v>
      </c>
      <c r="AB165" s="40"/>
      <c r="AC165" s="40"/>
      <c r="AD165" s="40"/>
      <c r="AE165" s="40"/>
      <c r="AF165" s="40"/>
      <c r="AG165" s="40"/>
      <c r="AH165" s="40"/>
      <c r="AI165" s="40"/>
      <c r="AJ165" s="40"/>
      <c r="AK165" s="40"/>
    </row>
    <row r="166">
      <c r="A166" s="10" t="s">
        <v>1151</v>
      </c>
      <c r="B166" s="10" t="s">
        <v>202</v>
      </c>
      <c r="C166" s="10" t="s">
        <v>1151</v>
      </c>
      <c r="D166" s="10" t="s">
        <v>140</v>
      </c>
      <c r="E166" s="10" t="s">
        <v>141</v>
      </c>
      <c r="F166" s="12" t="s">
        <v>1158</v>
      </c>
      <c r="G166" s="10"/>
      <c r="H166" s="10" t="s">
        <v>70</v>
      </c>
      <c r="I166" s="10" t="s">
        <v>1159</v>
      </c>
      <c r="J166" s="10" t="s">
        <v>70</v>
      </c>
      <c r="K166" s="10" t="s">
        <v>1160</v>
      </c>
      <c r="L166" s="12" t="s">
        <v>1161</v>
      </c>
      <c r="M166" s="29">
        <f t="shared" si="1"/>
        <v>-75</v>
      </c>
      <c r="N166" s="31">
        <f>IFERROR(__xludf.DUMMYFUNCTION("IF(Account!$F166&lt;&gt;"""", VALUE(REGEXREPLACE($I166, ""\,"", ""."")), """")"),3538.5)</f>
        <v>3538.5</v>
      </c>
      <c r="O166" s="33">
        <f>IF(Account!$F166&lt;&gt;"", DATEVALUE(MID($A166,4,3) &amp; LEFT($A166,3) &amp; RIGHT($A166,4)) + TIMEVALUE($B166), "")</f>
        <v>43528.39722</v>
      </c>
      <c r="P166" s="34">
        <f>IF(Account!$F166&lt;&gt;"", DATEVALUE(MID($C166,4,3) &amp; LEFT($C166,3) &amp; RIGHT($C166,4)), "")</f>
        <v>43528</v>
      </c>
      <c r="Q166" s="35" t="str">
        <f t="array" ref="Q166">IF($R166&lt;&gt;"",IFERROR(INDEX(Investment!$A:$A,MATCH($R166,Investment!$H:$H,0))),)</f>
        <v>Stocks</v>
      </c>
      <c r="R166" s="36" t="str">
        <f t="array" ref="R166">IF(AND($Y166="change",$H166="EUR"),IF(AND($AA166="Crédit",$O166=$O167),$R167,IF(AND($AA166="Débit",$O166=$O165),$R165)),IF(OR(AND(OR($E166&lt;&gt;"",$M166=""),$N166&lt;&gt;0),$A166=""),IFERROR(INDEX(Investment!$H:$H,MATCH($E166,Investment!$F:$F,0))),IFERROR(INDEX($R167:$R1119,MATCH(SUBSTITUTE($I166,"-","",1),$K167:$K1119,0)),INDEX($R167:$R1119,MATCH($K166,$K167:$K1119,0)))))</f>
        <v>Vanguard S&amp;P 500 UCITS</v>
      </c>
      <c r="S166" s="35" t="str">
        <f t="shared" si="2"/>
        <v>SELL</v>
      </c>
      <c r="T166" s="37">
        <f t="shared" si="3"/>
        <v>-75</v>
      </c>
      <c r="U166" s="38">
        <f t="shared" si="4"/>
        <v>47.18</v>
      </c>
      <c r="V166" s="31">
        <f t="shared" si="5"/>
        <v>3538.5</v>
      </c>
      <c r="W166" s="39" t="str">
        <f>IFERROR(__xludf.DUMMYFUNCTION(" IF(Account!$F166&lt;&gt;"""", SPLIT(Account!$F166, "" ""), """")"),"Vente")</f>
        <v>Vente</v>
      </c>
      <c r="X166" s="40">
        <f>IFERROR(__xludf.DUMMYFUNCTION("""COMPUTED_VALUE"""),75.0)</f>
        <v>75</v>
      </c>
      <c r="Y166" s="40" t="str">
        <f>IFERROR(__xludf.DUMMYFUNCTION("""COMPUTED_VALUE"""),"VANGUARD")</f>
        <v>VANGUARD</v>
      </c>
      <c r="Z166" s="40" t="str">
        <f>IFERROR(__xludf.DUMMYFUNCTION("""COMPUTED_VALUE"""),"S&amp;P500@47,18")</f>
        <v>S&amp;P500@47,18</v>
      </c>
      <c r="AA166" s="40" t="str">
        <f>IFERROR(__xludf.DUMMYFUNCTION("""COMPUTED_VALUE"""),"EUR")</f>
        <v>EUR</v>
      </c>
      <c r="AB166" s="40" t="str">
        <f>IFERROR(__xludf.DUMMYFUNCTION("""COMPUTED_VALUE"""),"(IE00B3XXRP09)")</f>
        <v>(IE00B3XXRP09)</v>
      </c>
      <c r="AC166" s="40"/>
      <c r="AD166" s="40"/>
      <c r="AE166" s="40"/>
      <c r="AF166" s="40"/>
      <c r="AG166" s="40"/>
      <c r="AH166" s="40"/>
      <c r="AI166" s="40"/>
      <c r="AJ166" s="40"/>
      <c r="AK166" s="40"/>
    </row>
    <row r="167">
      <c r="A167" s="10"/>
      <c r="B167" s="10"/>
      <c r="C167" s="10"/>
      <c r="D167" s="10"/>
      <c r="E167" s="10"/>
      <c r="F167" s="12"/>
      <c r="G167" s="300"/>
      <c r="H167" s="10"/>
      <c r="I167" s="10"/>
      <c r="J167" s="10"/>
      <c r="K167" s="10"/>
      <c r="L167" s="12"/>
      <c r="M167" s="29" t="str">
        <f t="shared" si="1"/>
        <v/>
      </c>
      <c r="N167" s="31" t="str">
        <f>IFERROR(__xludf.DUMMYFUNCTION("IF(Account!$F167&lt;&gt;"""", VALUE(REGEXREPLACE($I167, ""\,"", ""."")), """")"),"")</f>
        <v/>
      </c>
      <c r="O167" s="33" t="str">
        <f>IF(Account!$F167&lt;&gt;"", DATEVALUE(MID($A167,4,3) &amp; LEFT($A167,3) &amp; RIGHT($A167,4)) + TIMEVALUE($B167), "")</f>
        <v/>
      </c>
      <c r="P167" s="34" t="str">
        <f>IF(Account!$F167&lt;&gt;"", DATEVALUE(MID($C167,4,3) &amp; LEFT($C167,3) &amp; RIGHT($C167,4)), "")</f>
        <v/>
      </c>
      <c r="Q167" s="35" t="str">
        <f t="array" ref="Q167">IF($R167&lt;&gt;"",IFERROR(INDEX(Investment!$A:$A,MATCH($R167,Investment!$H:$H,0))),)</f>
        <v/>
      </c>
      <c r="R167" s="36" t="str">
        <f t="array" ref="R167">IF(AND($Y167="change",$H167="EUR"),IF(AND($AA167="Crédit",$O167=$O168),$R168,IF(AND($AA167="Débit",$O167=$O166),$R166)),IF(OR(AND(OR($E167&lt;&gt;"",$M167=""),$N167&lt;&gt;0),$A167=""),IFERROR(INDEX(Investment!$H:$H,MATCH($E167,Investment!$F:$F,0))),IFERROR(INDEX($R168:$R1119,MATCH(SUBSTITUTE($I167,"-","",1),$K168:$K1119,0)),INDEX($R168:$R1119,MATCH($K167,$K168:$K1119,0)))))</f>
        <v/>
      </c>
      <c r="S167" s="35" t="str">
        <f t="shared" si="2"/>
        <v/>
      </c>
      <c r="T167" s="37" t="str">
        <f t="shared" si="3"/>
        <v/>
      </c>
      <c r="U167" s="38" t="str">
        <f t="shared" si="4"/>
        <v/>
      </c>
      <c r="V167" s="31" t="str">
        <f t="shared" si="5"/>
        <v/>
      </c>
      <c r="W167" s="39" t="str">
        <f>IFERROR(__xludf.DUMMYFUNCTION(" IF(Account!$F167&lt;&gt;"""", SPLIT(Account!$F167, "" ""), """")"),"")</f>
        <v/>
      </c>
      <c r="X167" s="40"/>
      <c r="Y167" s="40"/>
      <c r="Z167" s="40"/>
      <c r="AA167" s="40"/>
      <c r="AB167" s="40"/>
      <c r="AC167" s="40"/>
      <c r="AD167" s="40"/>
      <c r="AE167" s="40"/>
      <c r="AF167" s="40"/>
      <c r="AG167" s="40"/>
      <c r="AH167" s="40"/>
      <c r="AI167" s="40"/>
      <c r="AJ167" s="40"/>
      <c r="AK167" s="40"/>
    </row>
    <row r="168">
      <c r="A168" s="10"/>
      <c r="B168" s="10"/>
      <c r="C168" s="10"/>
      <c r="D168" s="10"/>
      <c r="E168" s="10"/>
      <c r="F168" s="12"/>
      <c r="G168" s="10"/>
      <c r="H168" s="10"/>
      <c r="I168" s="10"/>
      <c r="J168" s="10"/>
      <c r="K168" s="10"/>
      <c r="L168" s="12"/>
      <c r="M168" s="29" t="str">
        <f t="shared" si="1"/>
        <v/>
      </c>
      <c r="N168" s="31" t="str">
        <f>IFERROR(__xludf.DUMMYFUNCTION("IF(Account!$F168&lt;&gt;"""", VALUE(REGEXREPLACE($I168, ""\,"", ""."")), """")"),"")</f>
        <v/>
      </c>
      <c r="O168" s="33" t="str">
        <f>IF(Account!$F168&lt;&gt;"", DATEVALUE(MID($A168,4,3) &amp; LEFT($A168,3) &amp; RIGHT($A168,4)) + TIMEVALUE($B168), "")</f>
        <v/>
      </c>
      <c r="P168" s="34" t="str">
        <f>IF(Account!$F168&lt;&gt;"", DATEVALUE(MID($C168,4,3) &amp; LEFT($C168,3) &amp; RIGHT($C168,4)), "")</f>
        <v/>
      </c>
      <c r="Q168" s="35" t="str">
        <f t="array" ref="Q168">IF($R168&lt;&gt;"",IFERROR(INDEX(Investment!$A:$A,MATCH($R168,Investment!$H:$H,0))),)</f>
        <v/>
      </c>
      <c r="R168" s="36" t="str">
        <f t="array" ref="R168">IF(AND($Y168="change",$H168="EUR"),IF(AND($AA168="Crédit",$O168=$O169),$R169,IF(AND($AA168="Débit",$O168=$O167),$R167)),IF(OR(AND(OR($E168&lt;&gt;"",$M168=""),$N168&lt;&gt;0),$A168=""),IFERROR(INDEX(Investment!$H:$H,MATCH($E168,Investment!$F:$F,0))),IFERROR(INDEX($R169:$R1119,MATCH(SUBSTITUTE($I168,"-","",1),$K169:$K1119,0)),INDEX($R169:$R1119,MATCH($K168,$K169:$K1119,0)))))</f>
        <v/>
      </c>
      <c r="S168" s="35" t="str">
        <f t="shared" si="2"/>
        <v/>
      </c>
      <c r="T168" s="37" t="str">
        <f t="shared" si="3"/>
        <v/>
      </c>
      <c r="U168" s="38" t="str">
        <f t="shared" si="4"/>
        <v/>
      </c>
      <c r="V168" s="31" t="str">
        <f t="shared" si="5"/>
        <v/>
      </c>
      <c r="W168" s="39" t="str">
        <f>IFERROR(__xludf.DUMMYFUNCTION(" IF(Account!$F168&lt;&gt;"""", SPLIT(Account!$F168, "" ""), """")"),"")</f>
        <v/>
      </c>
      <c r="X168" s="40"/>
      <c r="Y168" s="40"/>
      <c r="Z168" s="40"/>
      <c r="AA168" s="40"/>
      <c r="AB168" s="40"/>
      <c r="AC168" s="40"/>
      <c r="AD168" s="40"/>
      <c r="AE168" s="40"/>
      <c r="AF168" s="40"/>
      <c r="AG168" s="40"/>
      <c r="AH168" s="40"/>
      <c r="AI168" s="40"/>
      <c r="AJ168" s="40"/>
      <c r="AK168" s="40"/>
    </row>
    <row r="169">
      <c r="A169" s="10"/>
      <c r="B169" s="10"/>
      <c r="C169" s="10"/>
      <c r="D169" s="10"/>
      <c r="E169" s="10"/>
      <c r="F169" s="12"/>
      <c r="G169" s="10"/>
      <c r="H169" s="10"/>
      <c r="I169" s="10"/>
      <c r="J169" s="10"/>
      <c r="K169" s="10"/>
      <c r="L169" s="12"/>
      <c r="M169" s="29" t="str">
        <f t="shared" si="1"/>
        <v/>
      </c>
      <c r="N169" s="31" t="str">
        <f>IFERROR(__xludf.DUMMYFUNCTION("IF(Account!$F169&lt;&gt;"""", VALUE(REGEXREPLACE($I169, ""\,"", ""."")), """")"),"")</f>
        <v/>
      </c>
      <c r="O169" s="33" t="str">
        <f>IF(Account!$F169&lt;&gt;"", DATEVALUE(MID($A169,4,3) &amp; LEFT($A169,3) &amp; RIGHT($A169,4)) + TIMEVALUE($B169), "")</f>
        <v/>
      </c>
      <c r="P169" s="34" t="str">
        <f>IF(Account!$F169&lt;&gt;"", DATEVALUE(MID($C169,4,3) &amp; LEFT($C169,3) &amp; RIGHT($C169,4)), "")</f>
        <v/>
      </c>
      <c r="Q169" s="35" t="str">
        <f t="array" ref="Q169">IF($R169&lt;&gt;"",IFERROR(INDEX(Investment!$A:$A,MATCH($R169,Investment!$H:$H,0))),)</f>
        <v/>
      </c>
      <c r="R169" s="36" t="str">
        <f t="array" ref="R169">IF(AND($Y169="change",$H169="EUR"),IF(AND($AA169="Crédit",$O169=$O170),$R170,IF(AND($AA169="Débit",$O169=$O168),$R168)),IF(OR(AND(OR($E169&lt;&gt;"",$M169=""),$N169&lt;&gt;0),$A169=""),IFERROR(INDEX(Investment!$H:$H,MATCH($E169,Investment!$F:$F,0))),IFERROR(INDEX($R170:$R1119,MATCH(SUBSTITUTE($I169,"-","",1),$K170:$K1119,0)),INDEX($R170:$R1119,MATCH($K169,$K170:$K1119,0)))))</f>
        <v/>
      </c>
      <c r="S169" s="35" t="str">
        <f t="shared" si="2"/>
        <v/>
      </c>
      <c r="T169" s="37" t="str">
        <f t="shared" si="3"/>
        <v/>
      </c>
      <c r="U169" s="38" t="str">
        <f t="shared" si="4"/>
        <v/>
      </c>
      <c r="V169" s="31" t="str">
        <f t="shared" si="5"/>
        <v/>
      </c>
      <c r="W169" s="39" t="str">
        <f>IFERROR(__xludf.DUMMYFUNCTION(" IF(Account!$F169&lt;&gt;"""", SPLIT(Account!$F169, "" ""), """")"),"")</f>
        <v/>
      </c>
      <c r="X169" s="40"/>
      <c r="Y169" s="40"/>
      <c r="Z169" s="40"/>
      <c r="AA169" s="40"/>
      <c r="AB169" s="40"/>
      <c r="AC169" s="40"/>
      <c r="AD169" s="40"/>
      <c r="AE169" s="40"/>
      <c r="AF169" s="40"/>
      <c r="AG169" s="40"/>
      <c r="AH169" s="40"/>
      <c r="AI169" s="40"/>
      <c r="AJ169" s="40"/>
      <c r="AK169" s="40"/>
    </row>
    <row r="170">
      <c r="A170" s="10"/>
      <c r="B170" s="10"/>
      <c r="C170" s="10"/>
      <c r="D170" s="10"/>
      <c r="E170" s="10"/>
      <c r="F170" s="12"/>
      <c r="G170" s="10"/>
      <c r="H170" s="10"/>
      <c r="I170" s="10"/>
      <c r="J170" s="10"/>
      <c r="K170" s="10"/>
      <c r="L170" s="12"/>
      <c r="M170" s="29" t="str">
        <f t="shared" si="1"/>
        <v/>
      </c>
      <c r="N170" s="31" t="str">
        <f>IFERROR(__xludf.DUMMYFUNCTION("IF(Account!$F170&lt;&gt;"""", VALUE(REGEXREPLACE($I170, ""\,"", ""."")), """")"),"")</f>
        <v/>
      </c>
      <c r="O170" s="33" t="str">
        <f>IF(Account!$F170&lt;&gt;"", DATEVALUE(MID($A170,4,3) &amp; LEFT($A170,3) &amp; RIGHT($A170,4)) + TIMEVALUE($B170), "")</f>
        <v/>
      </c>
      <c r="P170" s="34" t="str">
        <f>IF(Account!$F170&lt;&gt;"", DATEVALUE(MID($C170,4,3) &amp; LEFT($C170,3) &amp; RIGHT($C170,4)), "")</f>
        <v/>
      </c>
      <c r="Q170" s="35" t="str">
        <f t="array" ref="Q170">IF($R170&lt;&gt;"",IFERROR(INDEX(Investment!$A:$A,MATCH($R170,Investment!$H:$H,0))),)</f>
        <v/>
      </c>
      <c r="R170" s="36" t="str">
        <f t="array" ref="R170">IF(AND($Y170="change",$H170="EUR"),IF(AND($AA170="Crédit",$O170=$O171),$R171,IF(AND($AA170="Débit",$O170=$O169),$R169)),IF(OR(AND(OR($E170&lt;&gt;"",$M170=""),$N170&lt;&gt;0),$A170=""),IFERROR(INDEX(Investment!$H:$H,MATCH($E170,Investment!$F:$F,0))),IFERROR(INDEX($R171:$R1119,MATCH(SUBSTITUTE($I170,"-","",1),$K171:$K1119,0)),INDEX($R171:$R1119,MATCH($K170,$K171:$K1119,0)))))</f>
        <v/>
      </c>
      <c r="S170" s="35" t="str">
        <f t="shared" si="2"/>
        <v/>
      </c>
      <c r="T170" s="37" t="str">
        <f t="shared" si="3"/>
        <v/>
      </c>
      <c r="U170" s="38" t="str">
        <f t="shared" si="4"/>
        <v/>
      </c>
      <c r="V170" s="31" t="str">
        <f t="shared" si="5"/>
        <v/>
      </c>
      <c r="W170" s="39" t="str">
        <f>IFERROR(__xludf.DUMMYFUNCTION(" IF(Account!$F170&lt;&gt;"""", SPLIT(Account!$F170, "" ""), """")"),"")</f>
        <v/>
      </c>
      <c r="X170" s="40"/>
      <c r="Y170" s="40"/>
      <c r="Z170" s="40"/>
      <c r="AA170" s="40"/>
      <c r="AB170" s="40"/>
      <c r="AC170" s="40"/>
      <c r="AD170" s="40"/>
      <c r="AE170" s="40"/>
      <c r="AF170" s="40"/>
      <c r="AG170" s="40"/>
      <c r="AH170" s="40"/>
      <c r="AI170" s="40"/>
      <c r="AJ170" s="40"/>
      <c r="AK170" s="40"/>
    </row>
    <row r="171">
      <c r="A171" s="10"/>
      <c r="B171" s="10"/>
      <c r="C171" s="10"/>
      <c r="D171" s="10"/>
      <c r="E171" s="10"/>
      <c r="F171" s="12"/>
      <c r="G171" s="300"/>
      <c r="H171" s="10"/>
      <c r="I171" s="10"/>
      <c r="J171" s="10"/>
      <c r="K171" s="10"/>
      <c r="L171" s="12"/>
      <c r="M171" s="29" t="str">
        <f t="shared" si="1"/>
        <v/>
      </c>
      <c r="N171" s="31" t="str">
        <f>IFERROR(__xludf.DUMMYFUNCTION("IF(Account!$F171&lt;&gt;"""", VALUE(REGEXREPLACE($I171, ""\,"", ""."")), """")"),"")</f>
        <v/>
      </c>
      <c r="O171" s="33" t="str">
        <f>IF(Account!$F171&lt;&gt;"", DATEVALUE(MID($A171,4,3) &amp; LEFT($A171,3) &amp; RIGHT($A171,4)) + TIMEVALUE($B171), "")</f>
        <v/>
      </c>
      <c r="P171" s="34" t="str">
        <f>IF(Account!$F171&lt;&gt;"", DATEVALUE(MID($C171,4,3) &amp; LEFT($C171,3) &amp; RIGHT($C171,4)), "")</f>
        <v/>
      </c>
      <c r="Q171" s="35" t="str">
        <f t="array" ref="Q171">IF($R171&lt;&gt;"",IFERROR(INDEX(Investment!$A:$A,MATCH($R171,Investment!$H:$H,0))),)</f>
        <v/>
      </c>
      <c r="R171" s="36" t="str">
        <f t="array" ref="R171">IF(AND($Y171="change",$H171="EUR"),IF(AND($AA171="Crédit",$O171=$O172),$R172,IF(AND($AA171="Débit",$O171=$O170),$R170)),IF(OR(AND(OR($E171&lt;&gt;"",$M171=""),$N171&lt;&gt;0),$A171=""),IFERROR(INDEX(Investment!$H:$H,MATCH($E171,Investment!$F:$F,0))),IFERROR(INDEX($R172:$R1119,MATCH(SUBSTITUTE($I171,"-","",1),$K172:$K1119,0)),INDEX($R172:$R1119,MATCH($K171,$K172:$K1119,0)))))</f>
        <v/>
      </c>
      <c r="S171" s="35" t="str">
        <f t="shared" si="2"/>
        <v/>
      </c>
      <c r="T171" s="37" t="str">
        <f t="shared" si="3"/>
        <v/>
      </c>
      <c r="U171" s="38" t="str">
        <f t="shared" si="4"/>
        <v/>
      </c>
      <c r="V171" s="31" t="str">
        <f t="shared" si="5"/>
        <v/>
      </c>
      <c r="W171" s="39" t="str">
        <f>IFERROR(__xludf.DUMMYFUNCTION(" IF(Account!$F171&lt;&gt;"""", SPLIT(Account!$F171, "" ""), """")"),"")</f>
        <v/>
      </c>
      <c r="X171" s="40"/>
      <c r="Y171" s="40"/>
      <c r="Z171" s="40"/>
      <c r="AA171" s="40"/>
      <c r="AB171" s="40"/>
      <c r="AC171" s="40"/>
      <c r="AD171" s="40"/>
      <c r="AE171" s="40"/>
      <c r="AF171" s="40"/>
      <c r="AG171" s="40"/>
      <c r="AH171" s="40"/>
      <c r="AI171" s="40"/>
      <c r="AJ171" s="40"/>
      <c r="AK171" s="40"/>
    </row>
    <row r="172">
      <c r="A172" s="10"/>
      <c r="B172" s="10"/>
      <c r="C172" s="10"/>
      <c r="D172" s="10"/>
      <c r="E172" s="10"/>
      <c r="F172" s="12"/>
      <c r="G172" s="10"/>
      <c r="H172" s="10"/>
      <c r="I172" s="10"/>
      <c r="J172" s="10"/>
      <c r="K172" s="10"/>
      <c r="L172" s="12"/>
      <c r="M172" s="29" t="str">
        <f t="shared" si="1"/>
        <v/>
      </c>
      <c r="N172" s="31" t="str">
        <f>IFERROR(__xludf.DUMMYFUNCTION("IF(Account!$F172&lt;&gt;"""", VALUE(REGEXREPLACE($I172, ""\,"", ""."")), """")"),"")</f>
        <v/>
      </c>
      <c r="O172" s="33" t="str">
        <f>IF(Account!$F172&lt;&gt;"", DATEVALUE(MID($A172,4,3) &amp; LEFT($A172,3) &amp; RIGHT($A172,4)) + TIMEVALUE($B172), "")</f>
        <v/>
      </c>
      <c r="P172" s="34" t="str">
        <f>IF(Account!$F172&lt;&gt;"", DATEVALUE(MID($C172,4,3) &amp; LEFT($C172,3) &amp; RIGHT($C172,4)), "")</f>
        <v/>
      </c>
      <c r="Q172" s="35" t="str">
        <f t="array" ref="Q172">IF($R172&lt;&gt;"",IFERROR(INDEX(Investment!$A:$A,MATCH($R172,Investment!$H:$H,0))),)</f>
        <v/>
      </c>
      <c r="R172" s="36" t="str">
        <f t="array" ref="R172">IF(AND($Y172="change",$H172="EUR"),IF(AND($AA172="Crédit",$O172=$O173),$R173,IF(AND($AA172="Débit",$O172=$O171),$R171)),IF(OR(AND(OR($E172&lt;&gt;"",$M172=""),$N172&lt;&gt;0),$A172=""),IFERROR(INDEX(Investment!$H:$H,MATCH($E172,Investment!$F:$F,0))),IFERROR(INDEX($R173:$R1119,MATCH(SUBSTITUTE($I172,"-","",1),$K173:$K1119,0)),INDEX($R173:$R1119,MATCH($K172,$K173:$K1119,0)))))</f>
        <v/>
      </c>
      <c r="S172" s="35" t="str">
        <f t="shared" si="2"/>
        <v/>
      </c>
      <c r="T172" s="37" t="str">
        <f t="shared" si="3"/>
        <v/>
      </c>
      <c r="U172" s="38" t="str">
        <f t="shared" si="4"/>
        <v/>
      </c>
      <c r="V172" s="31" t="str">
        <f t="shared" si="5"/>
        <v/>
      </c>
      <c r="W172" s="39" t="str">
        <f>IFERROR(__xludf.DUMMYFUNCTION(" IF(Account!$F172&lt;&gt;"""", SPLIT(Account!$F172, "" ""), """")"),"")</f>
        <v/>
      </c>
      <c r="X172" s="40"/>
      <c r="Y172" s="40"/>
      <c r="Z172" s="40"/>
      <c r="AA172" s="40"/>
      <c r="AB172" s="40"/>
      <c r="AC172" s="40"/>
      <c r="AD172" s="40"/>
      <c r="AE172" s="40"/>
      <c r="AF172" s="40"/>
      <c r="AG172" s="40"/>
      <c r="AH172" s="40"/>
      <c r="AI172" s="40"/>
      <c r="AJ172" s="40"/>
      <c r="AK172" s="40"/>
    </row>
    <row r="173">
      <c r="A173" s="10"/>
      <c r="B173" s="10"/>
      <c r="C173" s="10"/>
      <c r="D173" s="10"/>
      <c r="E173" s="10"/>
      <c r="F173" s="12"/>
      <c r="G173" s="10"/>
      <c r="H173" s="10"/>
      <c r="I173" s="10"/>
      <c r="J173" s="10"/>
      <c r="K173" s="10"/>
      <c r="L173" s="12"/>
      <c r="M173" s="29" t="str">
        <f t="shared" si="1"/>
        <v/>
      </c>
      <c r="N173" s="31" t="str">
        <f>IFERROR(__xludf.DUMMYFUNCTION("IF(Account!$F173&lt;&gt;"""", VALUE(REGEXREPLACE($I173, ""\,"", ""."")), """")"),"")</f>
        <v/>
      </c>
      <c r="O173" s="33" t="str">
        <f>IF(Account!$F173&lt;&gt;"", DATEVALUE(MID($A173,4,3) &amp; LEFT($A173,3) &amp; RIGHT($A173,4)) + TIMEVALUE($B173), "")</f>
        <v/>
      </c>
      <c r="P173" s="34" t="str">
        <f>IF(Account!$F173&lt;&gt;"", DATEVALUE(MID($C173,4,3) &amp; LEFT($C173,3) &amp; RIGHT($C173,4)), "")</f>
        <v/>
      </c>
      <c r="Q173" s="35" t="str">
        <f t="array" ref="Q173">IF($R173&lt;&gt;"",IFERROR(INDEX(Investment!$A:$A,MATCH($R173,Investment!$H:$H,0))),)</f>
        <v/>
      </c>
      <c r="R173" s="36" t="str">
        <f t="array" ref="R173">IF(AND($Y173="change",$H173="EUR"),IF(AND($AA173="Crédit",$O173=$O174),$R174,IF(AND($AA173="Débit",$O173=$O172),$R172)),IF(OR(AND(OR($E173&lt;&gt;"",$M173=""),$N173&lt;&gt;0),$A173=""),IFERROR(INDEX(Investment!$H:$H,MATCH($E173,Investment!$F:$F,0))),IFERROR(INDEX($R174:$R1119,MATCH(SUBSTITUTE($I173,"-","",1),$K174:$K1119,0)),INDEX($R174:$R1119,MATCH($K173,$K174:$K1119,0)))))</f>
        <v/>
      </c>
      <c r="S173" s="35" t="str">
        <f t="shared" si="2"/>
        <v/>
      </c>
      <c r="T173" s="37" t="str">
        <f t="shared" si="3"/>
        <v/>
      </c>
      <c r="U173" s="38" t="str">
        <f t="shared" si="4"/>
        <v/>
      </c>
      <c r="V173" s="31" t="str">
        <f t="shared" si="5"/>
        <v/>
      </c>
      <c r="W173" s="39" t="str">
        <f>IFERROR(__xludf.DUMMYFUNCTION(" IF(Account!$F173&lt;&gt;"""", SPLIT(Account!$F173, "" ""), """")"),"")</f>
        <v/>
      </c>
      <c r="X173" s="40"/>
      <c r="Y173" s="40"/>
      <c r="Z173" s="40"/>
      <c r="AA173" s="40"/>
      <c r="AB173" s="40"/>
      <c r="AC173" s="40"/>
      <c r="AD173" s="40"/>
      <c r="AE173" s="40"/>
      <c r="AF173" s="40"/>
      <c r="AG173" s="40"/>
      <c r="AH173" s="40"/>
      <c r="AI173" s="40"/>
      <c r="AJ173" s="40"/>
      <c r="AK173" s="40"/>
    </row>
    <row r="174">
      <c r="A174" s="10"/>
      <c r="B174" s="10"/>
      <c r="C174" s="10"/>
      <c r="D174" s="10"/>
      <c r="E174" s="10"/>
      <c r="F174" s="12"/>
      <c r="G174" s="10"/>
      <c r="H174" s="10"/>
      <c r="I174" s="10"/>
      <c r="J174" s="10"/>
      <c r="K174" s="10"/>
      <c r="L174" s="12"/>
      <c r="M174" s="29" t="str">
        <f t="shared" si="1"/>
        <v/>
      </c>
      <c r="N174" s="31" t="str">
        <f>IFERROR(__xludf.DUMMYFUNCTION("IF(Account!$F174&lt;&gt;"""", VALUE(REGEXREPLACE($I174, ""\,"", ""."")), """")"),"")</f>
        <v/>
      </c>
      <c r="O174" s="33" t="str">
        <f>IF(Account!$F174&lt;&gt;"", DATEVALUE(MID($A174,4,3) &amp; LEFT($A174,3) &amp; RIGHT($A174,4)) + TIMEVALUE($B174), "")</f>
        <v/>
      </c>
      <c r="P174" s="34" t="str">
        <f>IF(Account!$F174&lt;&gt;"", DATEVALUE(MID($C174,4,3) &amp; LEFT($C174,3) &amp; RIGHT($C174,4)), "")</f>
        <v/>
      </c>
      <c r="Q174" s="35" t="str">
        <f t="array" ref="Q174">IF($R174&lt;&gt;"",IFERROR(INDEX(Investment!$A:$A,MATCH($R174,Investment!$H:$H,0))),)</f>
        <v/>
      </c>
      <c r="R174" s="36" t="str">
        <f t="array" ref="R174">IF(AND($Y174="change",$H174="EUR"),IF(AND($AA174="Crédit",$O174=$O175),$R175,IF(AND($AA174="Débit",$O174=$O173),$R173)),IF(OR(AND(OR($E174&lt;&gt;"",$M174=""),$N174&lt;&gt;0),$A174=""),IFERROR(INDEX(Investment!$H:$H,MATCH($E174,Investment!$F:$F,0))),IFERROR(INDEX($R175:$R1119,MATCH(SUBSTITUTE($I174,"-","",1),$K175:$K1119,0)),INDEX($R175:$R1119,MATCH($K174,$K175:$K1119,0)))))</f>
        <v/>
      </c>
      <c r="S174" s="35" t="str">
        <f t="shared" si="2"/>
        <v/>
      </c>
      <c r="T174" s="37" t="str">
        <f t="shared" si="3"/>
        <v/>
      </c>
      <c r="U174" s="38" t="str">
        <f t="shared" si="4"/>
        <v/>
      </c>
      <c r="V174" s="31" t="str">
        <f t="shared" si="5"/>
        <v/>
      </c>
      <c r="W174" s="39" t="str">
        <f>IFERROR(__xludf.DUMMYFUNCTION(" IF(Account!$F174&lt;&gt;"""", SPLIT(Account!$F174, "" ""), """")"),"")</f>
        <v/>
      </c>
      <c r="X174" s="40"/>
      <c r="Y174" s="40"/>
      <c r="Z174" s="40"/>
      <c r="AA174" s="40"/>
      <c r="AB174" s="40"/>
      <c r="AC174" s="40"/>
      <c r="AD174" s="40"/>
      <c r="AE174" s="40"/>
      <c r="AF174" s="40"/>
      <c r="AG174" s="40"/>
      <c r="AH174" s="40"/>
      <c r="AI174" s="40"/>
      <c r="AJ174" s="40"/>
      <c r="AK174" s="40"/>
    </row>
    <row r="175">
      <c r="A175" s="10"/>
      <c r="B175" s="10"/>
      <c r="C175" s="10"/>
      <c r="D175" s="10"/>
      <c r="E175" s="10"/>
      <c r="F175" s="12"/>
      <c r="G175" s="10"/>
      <c r="H175" s="10"/>
      <c r="I175" s="10"/>
      <c r="J175" s="10"/>
      <c r="K175" s="10"/>
      <c r="L175" s="12"/>
      <c r="M175" s="29" t="str">
        <f t="shared" si="1"/>
        <v/>
      </c>
      <c r="N175" s="31" t="str">
        <f>IFERROR(__xludf.DUMMYFUNCTION("IF(Account!$F175&lt;&gt;"""", VALUE(REGEXREPLACE($I175, ""\,"", ""."")), """")"),"")</f>
        <v/>
      </c>
      <c r="O175" s="33" t="str">
        <f>IF(Account!$F175&lt;&gt;"", DATEVALUE(MID($A175,4,3) &amp; LEFT($A175,3) &amp; RIGHT($A175,4)) + TIMEVALUE($B175), "")</f>
        <v/>
      </c>
      <c r="P175" s="34" t="str">
        <f>IF(Account!$F175&lt;&gt;"", DATEVALUE(MID($C175,4,3) &amp; LEFT($C175,3) &amp; RIGHT($C175,4)), "")</f>
        <v/>
      </c>
      <c r="Q175" s="35" t="str">
        <f t="array" ref="Q175">IF($R175&lt;&gt;"",IFERROR(INDEX(Investment!$A:$A,MATCH($R175,Investment!$H:$H,0))),)</f>
        <v/>
      </c>
      <c r="R175" s="36" t="str">
        <f t="array" ref="R175">IF(AND($Y175="change",$H175="EUR"),IF(AND($AA175="Crédit",$O175=$O176),$R176,IF(AND($AA175="Débit",$O175=$O174),$R174)),IF(OR(AND(OR($E175&lt;&gt;"",$M175=""),$N175&lt;&gt;0),$A175=""),IFERROR(INDEX(Investment!$H:$H,MATCH($E175,Investment!$F:$F,0))),IFERROR(INDEX($R176:$R1119,MATCH(SUBSTITUTE($I175,"-","",1),$K176:$K1119,0)),INDEX($R176:$R1119,MATCH($K175,$K176:$K1119,0)))))</f>
        <v/>
      </c>
      <c r="S175" s="35" t="str">
        <f t="shared" si="2"/>
        <v/>
      </c>
      <c r="T175" s="37" t="str">
        <f t="shared" si="3"/>
        <v/>
      </c>
      <c r="U175" s="38" t="str">
        <f t="shared" si="4"/>
        <v/>
      </c>
      <c r="V175" s="31" t="str">
        <f t="shared" si="5"/>
        <v/>
      </c>
      <c r="W175" s="39" t="str">
        <f>IFERROR(__xludf.DUMMYFUNCTION(" IF(Account!$F175&lt;&gt;"""", SPLIT(Account!$F175, "" ""), """")"),"")</f>
        <v/>
      </c>
      <c r="X175" s="40"/>
      <c r="Y175" s="40"/>
      <c r="Z175" s="40"/>
      <c r="AA175" s="40"/>
      <c r="AB175" s="40"/>
      <c r="AC175" s="40"/>
      <c r="AD175" s="40"/>
      <c r="AE175" s="40"/>
      <c r="AF175" s="40"/>
      <c r="AG175" s="40"/>
      <c r="AH175" s="40"/>
      <c r="AI175" s="40"/>
      <c r="AJ175" s="40"/>
      <c r="AK175" s="40"/>
    </row>
    <row r="176">
      <c r="A176" s="10"/>
      <c r="B176" s="10"/>
      <c r="C176" s="10"/>
      <c r="D176" s="10"/>
      <c r="E176" s="10"/>
      <c r="F176" s="12"/>
      <c r="G176" s="10"/>
      <c r="H176" s="10"/>
      <c r="I176" s="10"/>
      <c r="J176" s="10"/>
      <c r="K176" s="10"/>
      <c r="L176" s="12"/>
      <c r="M176" s="29" t="str">
        <f t="shared" si="1"/>
        <v/>
      </c>
      <c r="N176" s="31" t="str">
        <f>IFERROR(__xludf.DUMMYFUNCTION("IF(Account!$F176&lt;&gt;"""", VALUE(REGEXREPLACE($I176, ""\,"", ""."")), """")"),"")</f>
        <v/>
      </c>
      <c r="O176" s="33" t="str">
        <f>IF(Account!$F176&lt;&gt;"", DATEVALUE(MID($A176,4,3) &amp; LEFT($A176,3) &amp; RIGHT($A176,4)) + TIMEVALUE($B176), "")</f>
        <v/>
      </c>
      <c r="P176" s="34" t="str">
        <f>IF(Account!$F176&lt;&gt;"", DATEVALUE(MID($C176,4,3) &amp; LEFT($C176,3) &amp; RIGHT($C176,4)), "")</f>
        <v/>
      </c>
      <c r="Q176" s="35" t="str">
        <f t="array" ref="Q176">IF($R176&lt;&gt;"",IFERROR(INDEX(Investment!$A:$A,MATCH($R176,Investment!$H:$H,0))),)</f>
        <v/>
      </c>
      <c r="R176" s="36" t="str">
        <f t="array" ref="R176">IF(AND($Y176="change",$H176="EUR"),IF(AND($AA176="Crédit",$O176=$O177),$R177,IF(AND($AA176="Débit",$O176=$O175),$R175)),IF(OR(AND(OR($E176&lt;&gt;"",$M176=""),$N176&lt;&gt;0),$A176=""),IFERROR(INDEX(Investment!$H:$H,MATCH($E176,Investment!$F:$F,0))),IFERROR(INDEX($R177:$R1119,MATCH(SUBSTITUTE($I176,"-","",1),$K177:$K1119,0)),INDEX($R177:$R1119,MATCH($K176,$K177:$K1119,0)))))</f>
        <v/>
      </c>
      <c r="S176" s="35" t="str">
        <f t="shared" si="2"/>
        <v/>
      </c>
      <c r="T176" s="37" t="str">
        <f t="shared" si="3"/>
        <v/>
      </c>
      <c r="U176" s="38" t="str">
        <f t="shared" si="4"/>
        <v/>
      </c>
      <c r="V176" s="31" t="str">
        <f t="shared" si="5"/>
        <v/>
      </c>
      <c r="W176" s="39" t="str">
        <f>IFERROR(__xludf.DUMMYFUNCTION(" IF(Account!$F176&lt;&gt;"""", SPLIT(Account!$F176, "" ""), """")"),"")</f>
        <v/>
      </c>
      <c r="X176" s="40"/>
      <c r="Y176" s="40"/>
      <c r="Z176" s="40"/>
      <c r="AA176" s="40"/>
      <c r="AB176" s="40"/>
      <c r="AC176" s="40"/>
      <c r="AD176" s="40"/>
      <c r="AE176" s="40"/>
      <c r="AF176" s="40"/>
      <c r="AG176" s="40"/>
      <c r="AH176" s="40"/>
      <c r="AI176" s="40"/>
      <c r="AJ176" s="40"/>
      <c r="AK176" s="40"/>
    </row>
    <row r="177">
      <c r="A177" s="10"/>
      <c r="B177" s="10"/>
      <c r="C177" s="10"/>
      <c r="D177" s="10"/>
      <c r="E177" s="10"/>
      <c r="F177" s="12"/>
      <c r="G177" s="300"/>
      <c r="H177" s="10"/>
      <c r="I177" s="10"/>
      <c r="J177" s="10"/>
      <c r="K177" s="10"/>
      <c r="L177" s="12"/>
      <c r="M177" s="29" t="str">
        <f t="shared" si="1"/>
        <v/>
      </c>
      <c r="N177" s="31" t="str">
        <f>IFERROR(__xludf.DUMMYFUNCTION("IF(Account!$F177&lt;&gt;"""", VALUE(REGEXREPLACE($I177, ""\,"", ""."")), """")"),"")</f>
        <v/>
      </c>
      <c r="O177" s="33" t="str">
        <f>IF(Account!$F177&lt;&gt;"", DATEVALUE(MID($A177,4,3) &amp; LEFT($A177,3) &amp; RIGHT($A177,4)) + TIMEVALUE($B177), "")</f>
        <v/>
      </c>
      <c r="P177" s="34" t="str">
        <f>IF(Account!$F177&lt;&gt;"", DATEVALUE(MID($C177,4,3) &amp; LEFT($C177,3) &amp; RIGHT($C177,4)), "")</f>
        <v/>
      </c>
      <c r="Q177" s="35" t="str">
        <f t="array" ref="Q177">IF($R177&lt;&gt;"",IFERROR(INDEX(Investment!$A:$A,MATCH($R177,Investment!$H:$H,0))),)</f>
        <v/>
      </c>
      <c r="R177" s="36" t="str">
        <f t="array" ref="R177">IF(AND($Y177="change",$H177="EUR"),IF(AND($AA177="Crédit",$O177=$O178),$R178,IF(AND($AA177="Débit",$O177=$O176),$R176)),IF(OR(AND(OR($E177&lt;&gt;"",$M177=""),$N177&lt;&gt;0),$A177=""),IFERROR(INDEX(Investment!$H:$H,MATCH($E177,Investment!$F:$F,0))),IFERROR(INDEX($R178:$R1119,MATCH(SUBSTITUTE($I177,"-","",1),$K178:$K1119,0)),INDEX($R178:$R1119,MATCH($K177,$K178:$K1119,0)))))</f>
        <v/>
      </c>
      <c r="S177" s="35" t="str">
        <f t="shared" si="2"/>
        <v/>
      </c>
      <c r="T177" s="37" t="str">
        <f t="shared" si="3"/>
        <v/>
      </c>
      <c r="U177" s="38" t="str">
        <f t="shared" si="4"/>
        <v/>
      </c>
      <c r="V177" s="31" t="str">
        <f t="shared" si="5"/>
        <v/>
      </c>
      <c r="W177" s="39" t="str">
        <f>IFERROR(__xludf.DUMMYFUNCTION(" IF(Account!$F177&lt;&gt;"""", SPLIT(Account!$F177, "" ""), """")"),"")</f>
        <v/>
      </c>
      <c r="X177" s="40"/>
      <c r="Y177" s="40"/>
      <c r="Z177" s="40"/>
      <c r="AA177" s="40"/>
      <c r="AB177" s="40"/>
      <c r="AC177" s="40"/>
      <c r="AD177" s="40"/>
      <c r="AE177" s="40"/>
      <c r="AF177" s="40"/>
      <c r="AG177" s="40"/>
      <c r="AH177" s="40"/>
      <c r="AI177" s="40"/>
      <c r="AJ177" s="40"/>
      <c r="AK177" s="40"/>
    </row>
    <row r="178">
      <c r="A178" s="10"/>
      <c r="B178" s="10"/>
      <c r="C178" s="10"/>
      <c r="D178" s="10"/>
      <c r="E178" s="10"/>
      <c r="F178" s="12"/>
      <c r="G178" s="10"/>
      <c r="H178" s="10"/>
      <c r="I178" s="10"/>
      <c r="J178" s="10"/>
      <c r="K178" s="10"/>
      <c r="L178" s="12"/>
      <c r="M178" s="29" t="str">
        <f t="shared" si="1"/>
        <v/>
      </c>
      <c r="N178" s="31" t="str">
        <f>IFERROR(__xludf.DUMMYFUNCTION("IF(Account!$F178&lt;&gt;"""", VALUE(REGEXREPLACE($I178, ""\,"", ""."")), """")"),"")</f>
        <v/>
      </c>
      <c r="O178" s="33" t="str">
        <f>IF(Account!$F178&lt;&gt;"", DATEVALUE(MID($A178,4,3) &amp; LEFT($A178,3) &amp; RIGHT($A178,4)) + TIMEVALUE($B178), "")</f>
        <v/>
      </c>
      <c r="P178" s="34" t="str">
        <f>IF(Account!$F178&lt;&gt;"", DATEVALUE(MID($C178,4,3) &amp; LEFT($C178,3) &amp; RIGHT($C178,4)), "")</f>
        <v/>
      </c>
      <c r="Q178" s="35" t="str">
        <f t="array" ref="Q178">IF($R178&lt;&gt;"",IFERROR(INDEX(Investment!$A:$A,MATCH($R178,Investment!$H:$H,0))),)</f>
        <v/>
      </c>
      <c r="R178" s="36" t="str">
        <f t="array" ref="R178">IF(AND($Y178="change",$H178="EUR"),IF(AND($AA178="Crédit",$O178=$O179),$R179,IF(AND($AA178="Débit",$O178=$O177),$R177)),IF(OR(AND(OR($E178&lt;&gt;"",$M178=""),$N178&lt;&gt;0),$A178=""),IFERROR(INDEX(Investment!$H:$H,MATCH($E178,Investment!$F:$F,0))),IFERROR(INDEX($R179:$R1119,MATCH(SUBSTITUTE($I178,"-","",1),$K179:$K1119,0)),INDEX($R179:$R1119,MATCH($K178,$K179:$K1119,0)))))</f>
        <v/>
      </c>
      <c r="S178" s="35" t="str">
        <f t="shared" si="2"/>
        <v/>
      </c>
      <c r="T178" s="37" t="str">
        <f t="shared" si="3"/>
        <v/>
      </c>
      <c r="U178" s="38" t="str">
        <f t="shared" si="4"/>
        <v/>
      </c>
      <c r="V178" s="31" t="str">
        <f t="shared" si="5"/>
        <v/>
      </c>
      <c r="W178" s="39" t="str">
        <f>IFERROR(__xludf.DUMMYFUNCTION(" IF(Account!$F178&lt;&gt;"""", SPLIT(Account!$F178, "" ""), """")"),"")</f>
        <v/>
      </c>
      <c r="X178" s="40"/>
      <c r="Y178" s="40"/>
      <c r="Z178" s="40"/>
      <c r="AA178" s="40"/>
      <c r="AB178" s="40"/>
      <c r="AC178" s="40"/>
      <c r="AD178" s="40"/>
      <c r="AE178" s="40"/>
      <c r="AF178" s="40"/>
      <c r="AG178" s="40"/>
      <c r="AH178" s="40"/>
      <c r="AI178" s="40"/>
      <c r="AJ178" s="40"/>
      <c r="AK178" s="40"/>
    </row>
    <row r="179">
      <c r="A179" s="10"/>
      <c r="B179" s="10"/>
      <c r="C179" s="10"/>
      <c r="D179" s="10"/>
      <c r="E179" s="10"/>
      <c r="F179" s="12"/>
      <c r="G179" s="10"/>
      <c r="H179" s="10"/>
      <c r="I179" s="10"/>
      <c r="J179" s="10"/>
      <c r="K179" s="10"/>
      <c r="L179" s="12"/>
      <c r="M179" s="29" t="str">
        <f t="shared" si="1"/>
        <v/>
      </c>
      <c r="N179" s="31" t="str">
        <f>IFERROR(__xludf.DUMMYFUNCTION("IF(Account!$F179&lt;&gt;"""", VALUE(REGEXREPLACE($I179, ""\,"", ""."")), """")"),"")</f>
        <v/>
      </c>
      <c r="O179" s="33" t="str">
        <f>IF(Account!$F179&lt;&gt;"", DATEVALUE(MID($A179,4,3) &amp; LEFT($A179,3) &amp; RIGHT($A179,4)) + TIMEVALUE($B179), "")</f>
        <v/>
      </c>
      <c r="P179" s="34" t="str">
        <f>IF(Account!$F179&lt;&gt;"", DATEVALUE(MID($C179,4,3) &amp; LEFT($C179,3) &amp; RIGHT($C179,4)), "")</f>
        <v/>
      </c>
      <c r="Q179" s="35" t="str">
        <f t="array" ref="Q179">IF($R179&lt;&gt;"",IFERROR(INDEX(Investment!$A:$A,MATCH($R179,Investment!$H:$H,0))),)</f>
        <v/>
      </c>
      <c r="R179" s="36" t="str">
        <f t="array" ref="R179">IF(AND($Y179="change",$H179="EUR"),IF(AND($AA179="Crédit",$O179=$O180),$R180,IF(AND($AA179="Débit",$O179=$O178),$R178)),IF(OR(AND(OR($E179&lt;&gt;"",$M179=""),$N179&lt;&gt;0),$A179=""),IFERROR(INDEX(Investment!$H:$H,MATCH($E179,Investment!$F:$F,0))),IFERROR(INDEX($R180:$R1119,MATCH(SUBSTITUTE($I179,"-","",1),$K180:$K1119,0)),INDEX($R180:$R1119,MATCH($K179,$K180:$K1119,0)))))</f>
        <v/>
      </c>
      <c r="S179" s="35" t="str">
        <f t="shared" si="2"/>
        <v/>
      </c>
      <c r="T179" s="37" t="str">
        <f t="shared" si="3"/>
        <v/>
      </c>
      <c r="U179" s="38" t="str">
        <f t="shared" si="4"/>
        <v/>
      </c>
      <c r="V179" s="31" t="str">
        <f t="shared" si="5"/>
        <v/>
      </c>
      <c r="W179" s="39" t="str">
        <f>IFERROR(__xludf.DUMMYFUNCTION(" IF(Account!$F179&lt;&gt;"""", SPLIT(Account!$F179, "" ""), """")"),"")</f>
        <v/>
      </c>
      <c r="X179" s="40"/>
      <c r="Y179" s="40"/>
      <c r="Z179" s="40"/>
      <c r="AA179" s="40"/>
      <c r="AB179" s="40"/>
      <c r="AC179" s="40"/>
      <c r="AD179" s="40"/>
      <c r="AE179" s="40"/>
      <c r="AF179" s="40"/>
      <c r="AG179" s="40"/>
      <c r="AH179" s="40"/>
      <c r="AI179" s="40"/>
      <c r="AJ179" s="40"/>
      <c r="AK179" s="40"/>
    </row>
    <row r="180">
      <c r="A180" s="10"/>
      <c r="B180" s="10"/>
      <c r="C180" s="10"/>
      <c r="D180" s="10"/>
      <c r="E180" s="10"/>
      <c r="F180" s="12"/>
      <c r="G180" s="10"/>
      <c r="H180" s="10"/>
      <c r="I180" s="10"/>
      <c r="J180" s="10"/>
      <c r="K180" s="10"/>
      <c r="L180" s="12"/>
      <c r="M180" s="29" t="str">
        <f t="shared" si="1"/>
        <v/>
      </c>
      <c r="N180" s="31" t="str">
        <f>IFERROR(__xludf.DUMMYFUNCTION("IF(Account!$F180&lt;&gt;"""", VALUE(REGEXREPLACE($I180, ""\,"", ""."")), """")"),"")</f>
        <v/>
      </c>
      <c r="O180" s="33" t="str">
        <f>IF(Account!$F180&lt;&gt;"", DATEVALUE(MID($A180,4,3) &amp; LEFT($A180,3) &amp; RIGHT($A180,4)) + TIMEVALUE($B180), "")</f>
        <v/>
      </c>
      <c r="P180" s="34" t="str">
        <f>IF(Account!$F180&lt;&gt;"", DATEVALUE(MID($C180,4,3) &amp; LEFT($C180,3) &amp; RIGHT($C180,4)), "")</f>
        <v/>
      </c>
      <c r="Q180" s="35" t="str">
        <f t="array" ref="Q180">IF($R180&lt;&gt;"",IFERROR(INDEX(Investment!$A:$A,MATCH($R180,Investment!$H:$H,0))),)</f>
        <v/>
      </c>
      <c r="R180" s="36" t="str">
        <f t="array" ref="R180">IF(AND($Y180="change",$H180="EUR"),IF(AND($AA180="Crédit",$O180=$O181),$R181,IF(AND($AA180="Débit",$O180=$O179),$R179)),IF(OR(AND(OR($E180&lt;&gt;"",$M180=""),$N180&lt;&gt;0),$A180=""),IFERROR(INDEX(Investment!$H:$H,MATCH($E180,Investment!$F:$F,0))),IFERROR(INDEX($R181:$R1119,MATCH(SUBSTITUTE($I180,"-","",1),$K181:$K1119,0)),INDEX($R181:$R1119,MATCH($K180,$K181:$K1119,0)))))</f>
        <v/>
      </c>
      <c r="S180" s="35" t="str">
        <f t="shared" si="2"/>
        <v/>
      </c>
      <c r="T180" s="37" t="str">
        <f t="shared" si="3"/>
        <v/>
      </c>
      <c r="U180" s="38" t="str">
        <f t="shared" si="4"/>
        <v/>
      </c>
      <c r="V180" s="31" t="str">
        <f t="shared" si="5"/>
        <v/>
      </c>
      <c r="W180" s="39" t="str">
        <f>IFERROR(__xludf.DUMMYFUNCTION(" IF(Account!$F180&lt;&gt;"""", SPLIT(Account!$F180, "" ""), """")"),"")</f>
        <v/>
      </c>
      <c r="X180" s="40"/>
      <c r="Y180" s="40"/>
      <c r="Z180" s="40"/>
      <c r="AA180" s="40"/>
      <c r="AB180" s="40"/>
      <c r="AC180" s="40"/>
      <c r="AD180" s="40"/>
      <c r="AE180" s="40"/>
      <c r="AF180" s="40"/>
      <c r="AG180" s="40"/>
      <c r="AH180" s="40"/>
      <c r="AI180" s="40"/>
      <c r="AJ180" s="40"/>
      <c r="AK180" s="40"/>
    </row>
    <row r="181">
      <c r="A181" s="10"/>
      <c r="B181" s="10"/>
      <c r="C181" s="10"/>
      <c r="D181" s="10"/>
      <c r="E181" s="10"/>
      <c r="F181" s="12"/>
      <c r="G181" s="10"/>
      <c r="H181" s="10"/>
      <c r="I181" s="10"/>
      <c r="J181" s="10"/>
      <c r="K181" s="10"/>
      <c r="L181" s="12"/>
      <c r="M181" s="29" t="str">
        <f t="shared" si="1"/>
        <v/>
      </c>
      <c r="N181" s="31" t="str">
        <f>IFERROR(__xludf.DUMMYFUNCTION("IF(Account!$F181&lt;&gt;"""", VALUE(REGEXREPLACE($I181, ""\,"", ""."")), """")"),"")</f>
        <v/>
      </c>
      <c r="O181" s="33" t="str">
        <f>IF(Account!$F181&lt;&gt;"", DATEVALUE(MID($A181,4,3) &amp; LEFT($A181,3) &amp; RIGHT($A181,4)) + TIMEVALUE($B181), "")</f>
        <v/>
      </c>
      <c r="P181" s="34" t="str">
        <f>IF(Account!$F181&lt;&gt;"", DATEVALUE(MID($C181,4,3) &amp; LEFT($C181,3) &amp; RIGHT($C181,4)), "")</f>
        <v/>
      </c>
      <c r="Q181" s="35" t="str">
        <f t="array" ref="Q181">IF($R181&lt;&gt;"",IFERROR(INDEX(Investment!$A:$A,MATCH($R181,Investment!$H:$H,0))),)</f>
        <v/>
      </c>
      <c r="R181" s="36" t="str">
        <f t="array" ref="R181">IF(AND($Y181="change",$H181="EUR"),IF(AND($AA181="Crédit",$O181=$O182),$R182,IF(AND($AA181="Débit",$O181=$O180),$R180)),IF(OR(AND(OR($E181&lt;&gt;"",$M181=""),$N181&lt;&gt;0),$A181=""),IFERROR(INDEX(Investment!$H:$H,MATCH($E181,Investment!$F:$F,0))),IFERROR(INDEX($R182:$R1119,MATCH(SUBSTITUTE($I181,"-","",1),$K182:$K1119,0)),INDEX($R182:$R1119,MATCH($K181,$K182:$K1119,0)))))</f>
        <v/>
      </c>
      <c r="S181" s="35" t="str">
        <f t="shared" si="2"/>
        <v/>
      </c>
      <c r="T181" s="37" t="str">
        <f t="shared" si="3"/>
        <v/>
      </c>
      <c r="U181" s="38" t="str">
        <f t="shared" si="4"/>
        <v/>
      </c>
      <c r="V181" s="31" t="str">
        <f t="shared" si="5"/>
        <v/>
      </c>
      <c r="W181" s="39" t="str">
        <f>IFERROR(__xludf.DUMMYFUNCTION(" IF(Account!$F181&lt;&gt;"""", SPLIT(Account!$F181, "" ""), """")"),"")</f>
        <v/>
      </c>
      <c r="X181" s="40"/>
      <c r="Y181" s="40"/>
      <c r="Z181" s="40"/>
      <c r="AA181" s="40"/>
      <c r="AB181" s="40"/>
      <c r="AC181" s="40"/>
      <c r="AD181" s="40"/>
      <c r="AE181" s="40"/>
      <c r="AF181" s="40"/>
      <c r="AG181" s="40"/>
      <c r="AH181" s="40"/>
      <c r="AI181" s="40"/>
      <c r="AJ181" s="40"/>
      <c r="AK181" s="40"/>
    </row>
    <row r="182">
      <c r="A182" s="10"/>
      <c r="B182" s="10"/>
      <c r="C182" s="10"/>
      <c r="D182" s="10"/>
      <c r="E182" s="10"/>
      <c r="F182" s="12"/>
      <c r="G182" s="10"/>
      <c r="H182" s="10"/>
      <c r="I182" s="10"/>
      <c r="J182" s="10"/>
      <c r="K182" s="10"/>
      <c r="L182" s="12"/>
      <c r="M182" s="29" t="str">
        <f t="shared" si="1"/>
        <v/>
      </c>
      <c r="N182" s="31" t="str">
        <f>IFERROR(__xludf.DUMMYFUNCTION("IF(Account!$F182&lt;&gt;"""", VALUE(REGEXREPLACE($I182, ""\,"", ""."")), """")"),"")</f>
        <v/>
      </c>
      <c r="O182" s="33" t="str">
        <f>IF(Account!$F182&lt;&gt;"", DATEVALUE(MID($A182,4,3) &amp; LEFT($A182,3) &amp; RIGHT($A182,4)) + TIMEVALUE($B182), "")</f>
        <v/>
      </c>
      <c r="P182" s="34" t="str">
        <f>IF(Account!$F182&lt;&gt;"", DATEVALUE(MID($C182,4,3) &amp; LEFT($C182,3) &amp; RIGHT($C182,4)), "")</f>
        <v/>
      </c>
      <c r="Q182" s="35" t="str">
        <f t="array" ref="Q182">IF($R182&lt;&gt;"",IFERROR(INDEX(Investment!$A:$A,MATCH($R182,Investment!$H:$H,0))),)</f>
        <v/>
      </c>
      <c r="R182" s="36" t="str">
        <f t="array" ref="R182">IF(AND($Y182="change",$H182="EUR"),IF(AND($AA182="Crédit",$O182=$O183),$R183,IF(AND($AA182="Débit",$O182=$O181),$R181)),IF(OR(AND(OR($E182&lt;&gt;"",$M182=""),$N182&lt;&gt;0),$A182=""),IFERROR(INDEX(Investment!$H:$H,MATCH($E182,Investment!$F:$F,0))),IFERROR(INDEX($R183:$R1119,MATCH(SUBSTITUTE($I182,"-","",1),$K183:$K1119,0)),INDEX($R183:$R1119,MATCH($K182,$K183:$K1119,0)))))</f>
        <v/>
      </c>
      <c r="S182" s="35" t="str">
        <f t="shared" si="2"/>
        <v/>
      </c>
      <c r="T182" s="37" t="str">
        <f t="shared" si="3"/>
        <v/>
      </c>
      <c r="U182" s="38" t="str">
        <f t="shared" si="4"/>
        <v/>
      </c>
      <c r="V182" s="31" t="str">
        <f t="shared" si="5"/>
        <v/>
      </c>
      <c r="W182" s="39" t="str">
        <f>IFERROR(__xludf.DUMMYFUNCTION(" IF(Account!$F182&lt;&gt;"""", SPLIT(Account!$F182, "" ""), """")"),"")</f>
        <v/>
      </c>
      <c r="X182" s="40"/>
      <c r="Y182" s="40"/>
      <c r="Z182" s="40"/>
      <c r="AA182" s="40"/>
      <c r="AB182" s="40"/>
      <c r="AC182" s="40"/>
      <c r="AD182" s="40"/>
      <c r="AE182" s="40"/>
      <c r="AF182" s="40"/>
      <c r="AG182" s="40"/>
      <c r="AH182" s="40"/>
      <c r="AI182" s="40"/>
      <c r="AJ182" s="40"/>
      <c r="AK182" s="40"/>
    </row>
    <row r="183">
      <c r="A183" s="10"/>
      <c r="B183" s="10"/>
      <c r="C183" s="10"/>
      <c r="D183" s="10"/>
      <c r="E183" s="10"/>
      <c r="F183" s="12"/>
      <c r="G183" s="10"/>
      <c r="H183" s="10"/>
      <c r="I183" s="10"/>
      <c r="J183" s="10"/>
      <c r="K183" s="10"/>
      <c r="L183" s="12"/>
      <c r="M183" s="29" t="str">
        <f t="shared" si="1"/>
        <v/>
      </c>
      <c r="N183" s="31" t="str">
        <f>IFERROR(__xludf.DUMMYFUNCTION("IF(Account!$F183&lt;&gt;"""", VALUE(REGEXREPLACE($I183, ""\,"", ""."")), """")"),"")</f>
        <v/>
      </c>
      <c r="O183" s="33" t="str">
        <f>IF(Account!$F183&lt;&gt;"", DATEVALUE(MID($A183,4,3) &amp; LEFT($A183,3) &amp; RIGHT($A183,4)) + TIMEVALUE($B183), "")</f>
        <v/>
      </c>
      <c r="P183" s="34" t="str">
        <f>IF(Account!$F183&lt;&gt;"", DATEVALUE(MID($C183,4,3) &amp; LEFT($C183,3) &amp; RIGHT($C183,4)), "")</f>
        <v/>
      </c>
      <c r="Q183" s="35" t="str">
        <f t="array" ref="Q183">IF($R183&lt;&gt;"",IFERROR(INDEX(Investment!$A:$A,MATCH($R183,Investment!$H:$H,0))),)</f>
        <v/>
      </c>
      <c r="R183" s="36" t="str">
        <f t="array" ref="R183">IF(AND($Y183="change",$H183="EUR"),IF(AND($AA183="Crédit",$O183=$O184),$R184,IF(AND($AA183="Débit",$O183=$O182),$R182)),IF(OR(AND(OR($E183&lt;&gt;"",$M183=""),$N183&lt;&gt;0),$A183=""),IFERROR(INDEX(Investment!$H:$H,MATCH($E183,Investment!$F:$F,0))),IFERROR(INDEX($R184:$R1119,MATCH(SUBSTITUTE($I183,"-","",1),$K184:$K1119,0)),INDEX($R184:$R1119,MATCH($K183,$K184:$K1119,0)))))</f>
        <v/>
      </c>
      <c r="S183" s="35" t="str">
        <f t="shared" si="2"/>
        <v/>
      </c>
      <c r="T183" s="37" t="str">
        <f t="shared" si="3"/>
        <v/>
      </c>
      <c r="U183" s="38" t="str">
        <f t="shared" si="4"/>
        <v/>
      </c>
      <c r="V183" s="31" t="str">
        <f t="shared" si="5"/>
        <v/>
      </c>
      <c r="W183" s="39" t="str">
        <f>IFERROR(__xludf.DUMMYFUNCTION(" IF(Account!$F183&lt;&gt;"""", SPLIT(Account!$F183, "" ""), """")"),"")</f>
        <v/>
      </c>
      <c r="X183" s="40"/>
      <c r="Y183" s="40"/>
      <c r="Z183" s="40"/>
      <c r="AA183" s="40"/>
      <c r="AB183" s="40"/>
      <c r="AC183" s="40"/>
      <c r="AD183" s="40"/>
      <c r="AE183" s="40"/>
      <c r="AF183" s="40"/>
      <c r="AG183" s="40"/>
      <c r="AH183" s="40"/>
      <c r="AI183" s="40"/>
      <c r="AJ183" s="40"/>
      <c r="AK183" s="40"/>
    </row>
    <row r="184">
      <c r="A184" s="10"/>
      <c r="B184" s="10"/>
      <c r="C184" s="10"/>
      <c r="D184" s="10"/>
      <c r="E184" s="10"/>
      <c r="F184" s="12"/>
      <c r="G184" s="10"/>
      <c r="H184" s="10"/>
      <c r="I184" s="10"/>
      <c r="J184" s="10"/>
      <c r="K184" s="10"/>
      <c r="L184" s="12"/>
      <c r="M184" s="29" t="str">
        <f t="shared" si="1"/>
        <v/>
      </c>
      <c r="N184" s="31" t="str">
        <f>IFERROR(__xludf.DUMMYFUNCTION("IF(Account!$F184&lt;&gt;"""", VALUE(REGEXREPLACE($I184, ""\,"", ""."")), """")"),"")</f>
        <v/>
      </c>
      <c r="O184" s="33" t="str">
        <f>IF(Account!$F184&lt;&gt;"", DATEVALUE(MID($A184,4,3) &amp; LEFT($A184,3) &amp; RIGHT($A184,4)) + TIMEVALUE($B184), "")</f>
        <v/>
      </c>
      <c r="P184" s="34" t="str">
        <f>IF(Account!$F184&lt;&gt;"", DATEVALUE(MID($C184,4,3) &amp; LEFT($C184,3) &amp; RIGHT($C184,4)), "")</f>
        <v/>
      </c>
      <c r="Q184" s="35" t="str">
        <f t="array" ref="Q184">IF($R184&lt;&gt;"",IFERROR(INDEX(Investment!$A:$A,MATCH($R184,Investment!$H:$H,0))),)</f>
        <v/>
      </c>
      <c r="R184" s="36" t="str">
        <f t="array" ref="R184">IF(AND($Y184="change",$H184="EUR"),IF(AND($AA184="Crédit",$O184=$O185),$R185,IF(AND($AA184="Débit",$O184=$O183),$R183)),IF(OR(AND(OR($E184&lt;&gt;"",$M184=""),$N184&lt;&gt;0),$A184=""),IFERROR(INDEX(Investment!$H:$H,MATCH($E184,Investment!$F:$F,0))),IFERROR(INDEX($R185:$R1119,MATCH(SUBSTITUTE($I184,"-","",1),$K185:$K1119,0)),INDEX($R185:$R1119,MATCH($K184,$K185:$K1119,0)))))</f>
        <v/>
      </c>
      <c r="S184" s="35" t="str">
        <f t="shared" si="2"/>
        <v/>
      </c>
      <c r="T184" s="37" t="str">
        <f t="shared" si="3"/>
        <v/>
      </c>
      <c r="U184" s="38" t="str">
        <f t="shared" si="4"/>
        <v/>
      </c>
      <c r="V184" s="31" t="str">
        <f t="shared" si="5"/>
        <v/>
      </c>
      <c r="W184" s="39" t="str">
        <f>IFERROR(__xludf.DUMMYFUNCTION(" IF(Account!$F184&lt;&gt;"""", SPLIT(Account!$F184, "" ""), """")"),"")</f>
        <v/>
      </c>
      <c r="X184" s="40"/>
      <c r="Y184" s="40"/>
      <c r="Z184" s="40"/>
      <c r="AA184" s="40"/>
      <c r="AB184" s="40"/>
      <c r="AC184" s="40"/>
      <c r="AD184" s="40"/>
      <c r="AE184" s="40"/>
      <c r="AF184" s="40"/>
      <c r="AG184" s="40"/>
      <c r="AH184" s="40"/>
      <c r="AI184" s="40"/>
      <c r="AJ184" s="40"/>
      <c r="AK184" s="40"/>
    </row>
    <row r="185">
      <c r="A185" s="10"/>
      <c r="B185" s="10"/>
      <c r="C185" s="10"/>
      <c r="D185" s="10"/>
      <c r="E185" s="10"/>
      <c r="F185" s="12"/>
      <c r="G185" s="10"/>
      <c r="H185" s="10"/>
      <c r="I185" s="10"/>
      <c r="J185" s="10"/>
      <c r="K185" s="10"/>
      <c r="L185" s="12"/>
      <c r="M185" s="29" t="str">
        <f t="shared" si="1"/>
        <v/>
      </c>
      <c r="N185" s="31" t="str">
        <f>IFERROR(__xludf.DUMMYFUNCTION("IF(Account!$F185&lt;&gt;"""", VALUE(REGEXREPLACE($I185, ""\,"", ""."")), """")"),"")</f>
        <v/>
      </c>
      <c r="O185" s="33" t="str">
        <f>IF(Account!$F185&lt;&gt;"", DATEVALUE(MID($A185,4,3) &amp; LEFT($A185,3) &amp; RIGHT($A185,4)) + TIMEVALUE($B185), "")</f>
        <v/>
      </c>
      <c r="P185" s="34" t="str">
        <f>IF(Account!$F185&lt;&gt;"", DATEVALUE(MID($C185,4,3) &amp; LEFT($C185,3) &amp; RIGHT($C185,4)), "")</f>
        <v/>
      </c>
      <c r="Q185" s="35" t="str">
        <f t="array" ref="Q185">IF($R185&lt;&gt;"",IFERROR(INDEX(Investment!$A:$A,MATCH($R185,Investment!$H:$H,0))),)</f>
        <v/>
      </c>
      <c r="R185" s="36" t="str">
        <f t="array" ref="R185">IF(AND($Y185="change",$H185="EUR"),IF(AND($AA185="Crédit",$O185=$O186),$R186,IF(AND($AA185="Débit",$O185=$O184),$R184)),IF(OR(AND(OR($E185&lt;&gt;"",$M185=""),$N185&lt;&gt;0),$A185=""),IFERROR(INDEX(Investment!$H:$H,MATCH($E185,Investment!$F:$F,0))),IFERROR(INDEX($R186:$R1119,MATCH(SUBSTITUTE($I185,"-","",1),$K186:$K1119,0)),INDEX($R186:$R1119,MATCH($K185,$K186:$K1119,0)))))</f>
        <v/>
      </c>
      <c r="S185" s="35" t="str">
        <f t="shared" si="2"/>
        <v/>
      </c>
      <c r="T185" s="37" t="str">
        <f t="shared" si="3"/>
        <v/>
      </c>
      <c r="U185" s="38" t="str">
        <f t="shared" si="4"/>
        <v/>
      </c>
      <c r="V185" s="31" t="str">
        <f t="shared" si="5"/>
        <v/>
      </c>
      <c r="W185" s="39" t="str">
        <f>IFERROR(__xludf.DUMMYFUNCTION(" IF(Account!$F185&lt;&gt;"""", SPLIT(Account!$F185, "" ""), """")"),"")</f>
        <v/>
      </c>
      <c r="X185" s="40"/>
      <c r="Y185" s="40"/>
      <c r="Z185" s="40"/>
      <c r="AA185" s="40"/>
      <c r="AB185" s="40"/>
      <c r="AC185" s="40"/>
      <c r="AD185" s="40"/>
      <c r="AE185" s="40"/>
      <c r="AF185" s="40"/>
      <c r="AG185" s="40"/>
      <c r="AH185" s="40"/>
      <c r="AI185" s="40"/>
      <c r="AJ185" s="40"/>
      <c r="AK185" s="40"/>
    </row>
    <row r="186">
      <c r="A186" s="10"/>
      <c r="B186" s="10"/>
      <c r="C186" s="10"/>
      <c r="D186" s="10"/>
      <c r="E186" s="10"/>
      <c r="F186" s="12"/>
      <c r="G186" s="10"/>
      <c r="H186" s="10"/>
      <c r="I186" s="10"/>
      <c r="J186" s="10"/>
      <c r="K186" s="10"/>
      <c r="L186" s="12"/>
      <c r="M186" s="29" t="str">
        <f t="shared" si="1"/>
        <v/>
      </c>
      <c r="N186" s="31" t="str">
        <f>IFERROR(__xludf.DUMMYFUNCTION("IF(Account!$F186&lt;&gt;"""", VALUE(REGEXREPLACE($I186, ""\,"", ""."")), """")"),"")</f>
        <v/>
      </c>
      <c r="O186" s="33" t="str">
        <f>IF(Account!$F186&lt;&gt;"", DATEVALUE(MID($A186,4,3) &amp; LEFT($A186,3) &amp; RIGHT($A186,4)) + TIMEVALUE($B186), "")</f>
        <v/>
      </c>
      <c r="P186" s="34" t="str">
        <f>IF(Account!$F186&lt;&gt;"", DATEVALUE(MID($C186,4,3) &amp; LEFT($C186,3) &amp; RIGHT($C186,4)), "")</f>
        <v/>
      </c>
      <c r="Q186" s="35" t="str">
        <f t="array" ref="Q186">IF($R186&lt;&gt;"",IFERROR(INDEX(Investment!$A:$A,MATCH($R186,Investment!$H:$H,0))),)</f>
        <v/>
      </c>
      <c r="R186" s="36" t="str">
        <f t="array" ref="R186">IF(AND($Y186="change",$H186="EUR"),IF(AND($AA186="Crédit",$O186=$O187),$R187,IF(AND($AA186="Débit",$O186=$O185),$R185)),IF(OR(AND(OR($E186&lt;&gt;"",$M186=""),$N186&lt;&gt;0),$A186=""),IFERROR(INDEX(Investment!$H:$H,MATCH($E186,Investment!$F:$F,0))),IFERROR(INDEX($R187:$R1119,MATCH(SUBSTITUTE($I186,"-","",1),$K187:$K1119,0)),INDEX($R187:$R1119,MATCH($K186,$K187:$K1119,0)))))</f>
        <v/>
      </c>
      <c r="S186" s="35" t="str">
        <f t="shared" si="2"/>
        <v/>
      </c>
      <c r="T186" s="37" t="str">
        <f t="shared" si="3"/>
        <v/>
      </c>
      <c r="U186" s="38" t="str">
        <f t="shared" si="4"/>
        <v/>
      </c>
      <c r="V186" s="31" t="str">
        <f t="shared" si="5"/>
        <v/>
      </c>
      <c r="W186" s="39" t="str">
        <f>IFERROR(__xludf.DUMMYFUNCTION(" IF(Account!$F186&lt;&gt;"""", SPLIT(Account!$F186, "" ""), """")"),"")</f>
        <v/>
      </c>
      <c r="X186" s="40"/>
      <c r="Y186" s="40"/>
      <c r="Z186" s="40"/>
      <c r="AA186" s="40"/>
      <c r="AB186" s="40"/>
      <c r="AC186" s="40"/>
      <c r="AD186" s="40"/>
      <c r="AE186" s="40"/>
      <c r="AF186" s="40"/>
      <c r="AG186" s="40"/>
      <c r="AH186" s="40"/>
      <c r="AI186" s="40"/>
      <c r="AJ186" s="40"/>
      <c r="AK186" s="40"/>
    </row>
    <row r="187">
      <c r="A187" s="10"/>
      <c r="B187" s="10"/>
      <c r="C187" s="10"/>
      <c r="D187" s="10"/>
      <c r="E187" s="10"/>
      <c r="F187" s="12"/>
      <c r="G187" s="10"/>
      <c r="H187" s="10"/>
      <c r="I187" s="10"/>
      <c r="J187" s="10"/>
      <c r="K187" s="10"/>
      <c r="L187" s="12"/>
      <c r="M187" s="29" t="str">
        <f t="shared" si="1"/>
        <v/>
      </c>
      <c r="N187" s="31" t="str">
        <f>IFERROR(__xludf.DUMMYFUNCTION("IF(Account!$F187&lt;&gt;"""", VALUE(REGEXREPLACE($I187, ""\,"", ""."")), """")"),"")</f>
        <v/>
      </c>
      <c r="O187" s="33" t="str">
        <f>IF(Account!$F187&lt;&gt;"", DATEVALUE(MID($A187,4,3) &amp; LEFT($A187,3) &amp; RIGHT($A187,4)) + TIMEVALUE($B187), "")</f>
        <v/>
      </c>
      <c r="P187" s="34" t="str">
        <f>IF(Account!$F187&lt;&gt;"", DATEVALUE(MID($C187,4,3) &amp; LEFT($C187,3) &amp; RIGHT($C187,4)), "")</f>
        <v/>
      </c>
      <c r="Q187" s="35" t="str">
        <f t="array" ref="Q187">IF($R187&lt;&gt;"",IFERROR(INDEX(Investment!$A:$A,MATCH($R187,Investment!$H:$H,0))),)</f>
        <v/>
      </c>
      <c r="R187" s="36" t="str">
        <f t="array" ref="R187">IF(AND($Y187="change",$H187="EUR"),IF(AND($AA187="Crédit",$O187=$O188),$R188,IF(AND($AA187="Débit",$O187=$O186),$R186)),IF(OR(AND(OR($E187&lt;&gt;"",$M187=""),$N187&lt;&gt;0),$A187=""),IFERROR(INDEX(Investment!$H:$H,MATCH($E187,Investment!$F:$F,0))),IFERROR(INDEX($R188:$R1119,MATCH(SUBSTITUTE($I187,"-","",1),$K188:$K1119,0)),INDEX($R188:$R1119,MATCH($K187,$K188:$K1119,0)))))</f>
        <v/>
      </c>
      <c r="S187" s="35" t="str">
        <f t="shared" si="2"/>
        <v/>
      </c>
      <c r="T187" s="37" t="str">
        <f t="shared" si="3"/>
        <v/>
      </c>
      <c r="U187" s="38" t="str">
        <f t="shared" si="4"/>
        <v/>
      </c>
      <c r="V187" s="31" t="str">
        <f t="shared" si="5"/>
        <v/>
      </c>
      <c r="W187" s="39" t="str">
        <f>IFERROR(__xludf.DUMMYFUNCTION(" IF(Account!$F187&lt;&gt;"""", SPLIT(Account!$F187, "" ""), """")"),"")</f>
        <v/>
      </c>
      <c r="X187" s="40"/>
      <c r="Y187" s="40"/>
      <c r="Z187" s="40"/>
      <c r="AA187" s="40"/>
      <c r="AB187" s="40"/>
      <c r="AC187" s="40"/>
      <c r="AD187" s="40"/>
      <c r="AE187" s="40"/>
      <c r="AF187" s="40"/>
      <c r="AG187" s="40"/>
      <c r="AH187" s="40"/>
      <c r="AI187" s="40"/>
      <c r="AJ187" s="40"/>
      <c r="AK187" s="40"/>
    </row>
    <row r="188">
      <c r="A188" s="10"/>
      <c r="B188" s="10"/>
      <c r="C188" s="10"/>
      <c r="D188" s="10"/>
      <c r="E188" s="10"/>
      <c r="F188" s="12"/>
      <c r="G188" s="10"/>
      <c r="H188" s="10"/>
      <c r="I188" s="10"/>
      <c r="J188" s="10"/>
      <c r="K188" s="10"/>
      <c r="L188" s="12"/>
      <c r="M188" s="29" t="str">
        <f t="shared" si="1"/>
        <v/>
      </c>
      <c r="N188" s="31" t="str">
        <f>IFERROR(__xludf.DUMMYFUNCTION("IF(Account!$F188&lt;&gt;"""", VALUE(REGEXREPLACE($I188, ""\,"", ""."")), """")"),"")</f>
        <v/>
      </c>
      <c r="O188" s="33" t="str">
        <f>IF(Account!$F188&lt;&gt;"", DATEVALUE(MID($A188,4,3) &amp; LEFT($A188,3) &amp; RIGHT($A188,4)) + TIMEVALUE($B188), "")</f>
        <v/>
      </c>
      <c r="P188" s="34" t="str">
        <f>IF(Account!$F188&lt;&gt;"", DATEVALUE(MID($C188,4,3) &amp; LEFT($C188,3) &amp; RIGHT($C188,4)), "")</f>
        <v/>
      </c>
      <c r="Q188" s="35" t="str">
        <f t="array" ref="Q188">IF($R188&lt;&gt;"",IFERROR(INDEX(Investment!$A:$A,MATCH($R188,Investment!$H:$H,0))),)</f>
        <v/>
      </c>
      <c r="R188" s="36" t="str">
        <f t="array" ref="R188">IF(AND($Y188="change",$H188="EUR"),IF(AND($AA188="Crédit",$O188=$O189),$R189,IF(AND($AA188="Débit",$O188=$O187),$R187)),IF(OR(AND(OR($E188&lt;&gt;"",$M188=""),$N188&lt;&gt;0),$A188=""),IFERROR(INDEX(Investment!$H:$H,MATCH($E188,Investment!$F:$F,0))),IFERROR(INDEX($R189:$R1119,MATCH(SUBSTITUTE($I188,"-","",1),$K189:$K1119,0)),INDEX($R189:$R1119,MATCH($K188,$K189:$K1119,0)))))</f>
        <v/>
      </c>
      <c r="S188" s="35" t="str">
        <f t="shared" si="2"/>
        <v/>
      </c>
      <c r="T188" s="37" t="str">
        <f t="shared" si="3"/>
        <v/>
      </c>
      <c r="U188" s="38" t="str">
        <f t="shared" si="4"/>
        <v/>
      </c>
      <c r="V188" s="31" t="str">
        <f t="shared" si="5"/>
        <v/>
      </c>
      <c r="W188" s="39" t="str">
        <f>IFERROR(__xludf.DUMMYFUNCTION(" IF(Account!$F188&lt;&gt;"""", SPLIT(Account!$F188, "" ""), """")"),"")</f>
        <v/>
      </c>
      <c r="X188" s="40"/>
      <c r="Y188" s="40"/>
      <c r="Z188" s="40"/>
      <c r="AA188" s="40"/>
      <c r="AB188" s="40"/>
      <c r="AC188" s="40"/>
      <c r="AD188" s="40"/>
      <c r="AE188" s="40"/>
      <c r="AF188" s="40"/>
      <c r="AG188" s="40"/>
      <c r="AH188" s="40"/>
      <c r="AI188" s="40"/>
      <c r="AJ188" s="40"/>
      <c r="AK188" s="40"/>
    </row>
    <row r="189">
      <c r="A189" s="10"/>
      <c r="B189" s="10"/>
      <c r="C189" s="10"/>
      <c r="D189" s="10"/>
      <c r="E189" s="10"/>
      <c r="F189" s="12"/>
      <c r="G189" s="10"/>
      <c r="H189" s="10"/>
      <c r="I189" s="10"/>
      <c r="J189" s="10"/>
      <c r="K189" s="10"/>
      <c r="L189" s="12"/>
      <c r="M189" s="29" t="str">
        <f t="shared" si="1"/>
        <v/>
      </c>
      <c r="N189" s="31" t="str">
        <f>IFERROR(__xludf.DUMMYFUNCTION("IF(Account!$F189&lt;&gt;"""", VALUE(REGEXREPLACE($I189, ""\,"", ""."")), """")"),"")</f>
        <v/>
      </c>
      <c r="O189" s="33" t="str">
        <f>IF(Account!$F189&lt;&gt;"", DATEVALUE(MID($A189,4,3) &amp; LEFT($A189,3) &amp; RIGHT($A189,4)) + TIMEVALUE($B189), "")</f>
        <v/>
      </c>
      <c r="P189" s="34" t="str">
        <f>IF(Account!$F189&lt;&gt;"", DATEVALUE(MID($C189,4,3) &amp; LEFT($C189,3) &amp; RIGHT($C189,4)), "")</f>
        <v/>
      </c>
      <c r="Q189" s="35" t="str">
        <f t="array" ref="Q189">IF($R189&lt;&gt;"",IFERROR(INDEX(Investment!$A:$A,MATCH($R189,Investment!$H:$H,0))),)</f>
        <v/>
      </c>
      <c r="R189" s="36" t="str">
        <f t="array" ref="R189">IF(AND($Y189="change",$H189="EUR"),IF(AND($AA189="Crédit",$O189=$O190),$R190,IF(AND($AA189="Débit",$O189=$O188),$R188)),IF(OR(AND(OR($E189&lt;&gt;"",$M189=""),$N189&lt;&gt;0),$A189=""),IFERROR(INDEX(Investment!$H:$H,MATCH($E189,Investment!$F:$F,0))),IFERROR(INDEX($R190:$R1119,MATCH(SUBSTITUTE($I189,"-","",1),$K190:$K1119,0)),INDEX($R190:$R1119,MATCH($K189,$K190:$K1119,0)))))</f>
        <v/>
      </c>
      <c r="S189" s="35" t="str">
        <f t="shared" si="2"/>
        <v/>
      </c>
      <c r="T189" s="37" t="str">
        <f t="shared" si="3"/>
        <v/>
      </c>
      <c r="U189" s="38" t="str">
        <f t="shared" si="4"/>
        <v/>
      </c>
      <c r="V189" s="31" t="str">
        <f t="shared" si="5"/>
        <v/>
      </c>
      <c r="W189" s="39" t="str">
        <f>IFERROR(__xludf.DUMMYFUNCTION(" IF(Account!$F189&lt;&gt;"""", SPLIT(Account!$F189, "" ""), """")"),"")</f>
        <v/>
      </c>
      <c r="X189" s="40"/>
      <c r="Y189" s="40"/>
      <c r="Z189" s="40"/>
      <c r="AA189" s="40"/>
      <c r="AB189" s="40"/>
      <c r="AC189" s="40"/>
      <c r="AD189" s="40"/>
      <c r="AE189" s="40"/>
      <c r="AF189" s="40"/>
      <c r="AG189" s="40"/>
      <c r="AH189" s="40"/>
      <c r="AI189" s="40"/>
      <c r="AJ189" s="40"/>
      <c r="AK189" s="40"/>
    </row>
    <row r="190">
      <c r="A190" s="10"/>
      <c r="B190" s="10"/>
      <c r="C190" s="10"/>
      <c r="D190" s="10"/>
      <c r="E190" s="10"/>
      <c r="F190" s="12"/>
      <c r="G190" s="10"/>
      <c r="H190" s="10"/>
      <c r="I190" s="10"/>
      <c r="J190" s="10"/>
      <c r="K190" s="10"/>
      <c r="L190" s="12"/>
      <c r="M190" s="29" t="str">
        <f t="shared" si="1"/>
        <v/>
      </c>
      <c r="N190" s="31" t="str">
        <f>IFERROR(__xludf.DUMMYFUNCTION("IF(Account!$F190&lt;&gt;"""", VALUE(REGEXREPLACE($I190, ""\,"", ""."")), """")"),"")</f>
        <v/>
      </c>
      <c r="O190" s="33" t="str">
        <f>IF(Account!$F190&lt;&gt;"", DATEVALUE(MID($A190,4,3) &amp; LEFT($A190,3) &amp; RIGHT($A190,4)) + TIMEVALUE($B190), "")</f>
        <v/>
      </c>
      <c r="P190" s="34" t="str">
        <f>IF(Account!$F190&lt;&gt;"", DATEVALUE(MID($C190,4,3) &amp; LEFT($C190,3) &amp; RIGHT($C190,4)), "")</f>
        <v/>
      </c>
      <c r="Q190" s="35" t="str">
        <f t="array" ref="Q190">IF($R190&lt;&gt;"",IFERROR(INDEX(Investment!$A:$A,MATCH($R190,Investment!$H:$H,0))),)</f>
        <v/>
      </c>
      <c r="R190" s="36" t="str">
        <f t="array" ref="R190">IF(AND($Y190="change",$H190="EUR"),IF(AND($AA190="Crédit",$O190=$O191),$R191,IF(AND($AA190="Débit",$O190=$O189),$R189)),IF(OR(AND(OR($E190&lt;&gt;"",$M190=""),$N190&lt;&gt;0),$A190=""),IFERROR(INDEX(Investment!$H:$H,MATCH($E190,Investment!$F:$F,0))),IFERROR(INDEX($R191:$R1119,MATCH(SUBSTITUTE($I190,"-","",1),$K191:$K1119,0)),INDEX($R191:$R1119,MATCH($K190,$K191:$K1119,0)))))</f>
        <v/>
      </c>
      <c r="S190" s="35" t="str">
        <f t="shared" si="2"/>
        <v/>
      </c>
      <c r="T190" s="37" t="str">
        <f t="shared" si="3"/>
        <v/>
      </c>
      <c r="U190" s="38" t="str">
        <f t="shared" si="4"/>
        <v/>
      </c>
      <c r="V190" s="31" t="str">
        <f t="shared" si="5"/>
        <v/>
      </c>
      <c r="W190" s="39" t="str">
        <f>IFERROR(__xludf.DUMMYFUNCTION(" IF(Account!$F190&lt;&gt;"""", SPLIT(Account!$F190, "" ""), """")"),"")</f>
        <v/>
      </c>
      <c r="X190" s="40"/>
      <c r="Y190" s="40"/>
      <c r="Z190" s="40"/>
      <c r="AA190" s="40"/>
      <c r="AB190" s="40"/>
      <c r="AC190" s="40"/>
      <c r="AD190" s="40"/>
      <c r="AE190" s="40"/>
      <c r="AF190" s="40"/>
      <c r="AG190" s="40"/>
      <c r="AH190" s="40"/>
      <c r="AI190" s="40"/>
      <c r="AJ190" s="40"/>
      <c r="AK190" s="40"/>
    </row>
    <row r="191">
      <c r="A191" s="10"/>
      <c r="B191" s="10"/>
      <c r="C191" s="10"/>
      <c r="D191" s="10"/>
      <c r="E191" s="10"/>
      <c r="F191" s="12"/>
      <c r="G191" s="10"/>
      <c r="H191" s="10"/>
      <c r="I191" s="10"/>
      <c r="J191" s="10"/>
      <c r="K191" s="10"/>
      <c r="L191" s="12"/>
      <c r="M191" s="29" t="str">
        <f t="shared" si="1"/>
        <v/>
      </c>
      <c r="N191" s="31" t="str">
        <f>IFERROR(__xludf.DUMMYFUNCTION("IF(Account!$F191&lt;&gt;"""", VALUE(REGEXREPLACE($I191, ""\,"", ""."")), """")"),"")</f>
        <v/>
      </c>
      <c r="O191" s="33" t="str">
        <f>IF(Account!$F191&lt;&gt;"", DATEVALUE(MID($A191,4,3) &amp; LEFT($A191,3) &amp; RIGHT($A191,4)) + TIMEVALUE($B191), "")</f>
        <v/>
      </c>
      <c r="P191" s="34" t="str">
        <f>IF(Account!$F191&lt;&gt;"", DATEVALUE(MID($C191,4,3) &amp; LEFT($C191,3) &amp; RIGHT($C191,4)), "")</f>
        <v/>
      </c>
      <c r="Q191" s="35" t="str">
        <f t="array" ref="Q191">IF($R191&lt;&gt;"",IFERROR(INDEX(Investment!$A:$A,MATCH($R191,Investment!$H:$H,0))),)</f>
        <v/>
      </c>
      <c r="R191" s="36" t="str">
        <f t="array" ref="R191">IF(AND($Y191="change",$H191="EUR"),IF(AND($AA191="Crédit",$O191=$O192),$R192,IF(AND($AA191="Débit",$O191=$O190),$R190)),IF(OR(AND(OR($E191&lt;&gt;"",$M191=""),$N191&lt;&gt;0),$A191=""),IFERROR(INDEX(Investment!$H:$H,MATCH($E191,Investment!$F:$F,0))),IFERROR(INDEX($R192:$R1119,MATCH(SUBSTITUTE($I191,"-","",1),$K192:$K1119,0)),INDEX($R192:$R1119,MATCH($K191,$K192:$K1119,0)))))</f>
        <v/>
      </c>
      <c r="S191" s="35" t="str">
        <f t="shared" si="2"/>
        <v/>
      </c>
      <c r="T191" s="37" t="str">
        <f t="shared" si="3"/>
        <v/>
      </c>
      <c r="U191" s="38" t="str">
        <f t="shared" si="4"/>
        <v/>
      </c>
      <c r="V191" s="31" t="str">
        <f t="shared" si="5"/>
        <v/>
      </c>
      <c r="W191" s="39" t="str">
        <f>IFERROR(__xludf.DUMMYFUNCTION(" IF(Account!$F191&lt;&gt;"""", SPLIT(Account!$F191, "" ""), """")"),"")</f>
        <v/>
      </c>
      <c r="X191" s="40"/>
      <c r="Y191" s="40"/>
      <c r="Z191" s="40"/>
      <c r="AA191" s="40"/>
      <c r="AB191" s="40"/>
      <c r="AC191" s="40"/>
      <c r="AD191" s="40"/>
      <c r="AE191" s="40"/>
      <c r="AF191" s="40"/>
      <c r="AG191" s="40"/>
      <c r="AH191" s="40"/>
      <c r="AI191" s="40"/>
      <c r="AJ191" s="40"/>
      <c r="AK191" s="40"/>
    </row>
    <row r="192">
      <c r="A192" s="10"/>
      <c r="B192" s="10"/>
      <c r="C192" s="10"/>
      <c r="D192" s="10"/>
      <c r="E192" s="10"/>
      <c r="F192" s="12"/>
      <c r="G192" s="300"/>
      <c r="H192" s="10"/>
      <c r="I192" s="10"/>
      <c r="J192" s="10"/>
      <c r="K192" s="10"/>
      <c r="L192" s="12"/>
      <c r="M192" s="29" t="str">
        <f t="shared" si="1"/>
        <v/>
      </c>
      <c r="N192" s="31" t="str">
        <f>IFERROR(__xludf.DUMMYFUNCTION("IF(Account!$F192&lt;&gt;"""", VALUE(REGEXREPLACE($I192, ""\,"", ""."")), """")"),"")</f>
        <v/>
      </c>
      <c r="O192" s="33" t="str">
        <f>IF(Account!$F192&lt;&gt;"", DATEVALUE(MID($A192,4,3) &amp; LEFT($A192,3) &amp; RIGHT($A192,4)) + TIMEVALUE($B192), "")</f>
        <v/>
      </c>
      <c r="P192" s="34" t="str">
        <f>IF(Account!$F192&lt;&gt;"", DATEVALUE(MID($C192,4,3) &amp; LEFT($C192,3) &amp; RIGHT($C192,4)), "")</f>
        <v/>
      </c>
      <c r="Q192" s="35" t="str">
        <f t="array" ref="Q192">IF($R192&lt;&gt;"",IFERROR(INDEX(Investment!$A:$A,MATCH($R192,Investment!$H:$H,0))),)</f>
        <v/>
      </c>
      <c r="R192" s="36" t="str">
        <f t="array" ref="R192">IF(AND($Y192="change",$H192="EUR"),IF(AND($AA192="Crédit",$O192=$O193),$R193,IF(AND($AA192="Débit",$O192=$O191),$R191)),IF(OR(AND(OR($E192&lt;&gt;"",$M192=""),$N192&lt;&gt;0),$A192=""),IFERROR(INDEX(Investment!$H:$H,MATCH($E192,Investment!$F:$F,0))),IFERROR(INDEX($R193:$R1119,MATCH(SUBSTITUTE($I192,"-","",1),$K193:$K1119,0)),INDEX($R193:$R1119,MATCH($K192,$K193:$K1119,0)))))</f>
        <v/>
      </c>
      <c r="S192" s="35" t="str">
        <f t="shared" si="2"/>
        <v/>
      </c>
      <c r="T192" s="37" t="str">
        <f t="shared" si="3"/>
        <v/>
      </c>
      <c r="U192" s="38" t="str">
        <f t="shared" si="4"/>
        <v/>
      </c>
      <c r="V192" s="31" t="str">
        <f t="shared" si="5"/>
        <v/>
      </c>
      <c r="W192" s="39" t="str">
        <f>IFERROR(__xludf.DUMMYFUNCTION(" IF(Account!$F192&lt;&gt;"""", SPLIT(Account!$F192, "" ""), """")"),"")</f>
        <v/>
      </c>
      <c r="X192" s="40"/>
      <c r="Y192" s="40"/>
      <c r="Z192" s="40"/>
      <c r="AA192" s="40"/>
      <c r="AB192" s="40"/>
      <c r="AC192" s="40"/>
      <c r="AD192" s="40"/>
      <c r="AE192" s="40"/>
      <c r="AF192" s="40"/>
      <c r="AG192" s="40"/>
      <c r="AH192" s="40"/>
      <c r="AI192" s="40"/>
      <c r="AJ192" s="40"/>
      <c r="AK192" s="40"/>
    </row>
    <row r="193">
      <c r="A193" s="10"/>
      <c r="B193" s="10"/>
      <c r="C193" s="10"/>
      <c r="D193" s="10"/>
      <c r="E193" s="10"/>
      <c r="F193" s="12"/>
      <c r="G193" s="10"/>
      <c r="H193" s="10"/>
      <c r="I193" s="10"/>
      <c r="J193" s="10"/>
      <c r="K193" s="10"/>
      <c r="L193" s="12"/>
      <c r="M193" s="29" t="str">
        <f t="shared" si="1"/>
        <v/>
      </c>
      <c r="N193" s="31" t="str">
        <f>IFERROR(__xludf.DUMMYFUNCTION("IF(Account!$F193&lt;&gt;"""", VALUE(REGEXREPLACE($I193, ""\,"", ""."")), """")"),"")</f>
        <v/>
      </c>
      <c r="O193" s="33" t="str">
        <f>IF(Account!$F193&lt;&gt;"", DATEVALUE(MID($A193,4,3) &amp; LEFT($A193,3) &amp; RIGHT($A193,4)) + TIMEVALUE($B193), "")</f>
        <v/>
      </c>
      <c r="P193" s="34" t="str">
        <f>IF(Account!$F193&lt;&gt;"", DATEVALUE(MID($C193,4,3) &amp; LEFT($C193,3) &amp; RIGHT($C193,4)), "")</f>
        <v/>
      </c>
      <c r="Q193" s="35" t="str">
        <f t="array" ref="Q193">IF($R193&lt;&gt;"",IFERROR(INDEX(Investment!$A:$A,MATCH($R193,Investment!$H:$H,0))),)</f>
        <v/>
      </c>
      <c r="R193" s="36" t="str">
        <f t="array" ref="R193">IF(AND($Y193="change",$H193="EUR"),IF(AND($AA193="Crédit",$O193=$O194),$R194,IF(AND($AA193="Débit",$O193=$O192),$R192)),IF(OR(AND(OR($E193&lt;&gt;"",$M193=""),$N193&lt;&gt;0),$A193=""),IFERROR(INDEX(Investment!$H:$H,MATCH($E193,Investment!$F:$F,0))),IFERROR(INDEX($R194:$R1119,MATCH(SUBSTITUTE($I193,"-","",1),$K194:$K1119,0)),INDEX($R194:$R1119,MATCH($K193,$K194:$K1119,0)))))</f>
        <v/>
      </c>
      <c r="S193" s="35" t="str">
        <f t="shared" si="2"/>
        <v/>
      </c>
      <c r="T193" s="37" t="str">
        <f t="shared" si="3"/>
        <v/>
      </c>
      <c r="U193" s="38" t="str">
        <f t="shared" si="4"/>
        <v/>
      </c>
      <c r="V193" s="31" t="str">
        <f t="shared" si="5"/>
        <v/>
      </c>
      <c r="W193" s="39" t="str">
        <f>IFERROR(__xludf.DUMMYFUNCTION(" IF(Account!$F193&lt;&gt;"""", SPLIT(Account!$F193, "" ""), """")"),"")</f>
        <v/>
      </c>
      <c r="X193" s="40"/>
      <c r="Y193" s="40"/>
      <c r="Z193" s="40"/>
      <c r="AA193" s="40"/>
      <c r="AB193" s="40"/>
      <c r="AC193" s="40"/>
      <c r="AD193" s="40"/>
      <c r="AE193" s="40"/>
      <c r="AF193" s="40"/>
      <c r="AG193" s="40"/>
      <c r="AH193" s="40"/>
      <c r="AI193" s="40"/>
      <c r="AJ193" s="40"/>
      <c r="AK193" s="40"/>
    </row>
    <row r="194">
      <c r="A194" s="10"/>
      <c r="B194" s="10"/>
      <c r="C194" s="10"/>
      <c r="D194" s="10"/>
      <c r="E194" s="10"/>
      <c r="F194" s="12"/>
      <c r="G194" s="300"/>
      <c r="H194" s="10"/>
      <c r="I194" s="10"/>
      <c r="J194" s="10"/>
      <c r="K194" s="10"/>
      <c r="L194" s="12"/>
      <c r="M194" s="29" t="str">
        <f t="shared" si="1"/>
        <v/>
      </c>
      <c r="N194" s="31" t="str">
        <f>IFERROR(__xludf.DUMMYFUNCTION("IF(Account!$F194&lt;&gt;"""", VALUE(REGEXREPLACE($I194, ""\,"", ""."")), """")"),"")</f>
        <v/>
      </c>
      <c r="O194" s="33" t="str">
        <f>IF(Account!$F194&lt;&gt;"", DATEVALUE(MID($A194,4,3) &amp; LEFT($A194,3) &amp; RIGHT($A194,4)) + TIMEVALUE($B194), "")</f>
        <v/>
      </c>
      <c r="P194" s="34" t="str">
        <f>IF(Account!$F194&lt;&gt;"", DATEVALUE(MID($C194,4,3) &amp; LEFT($C194,3) &amp; RIGHT($C194,4)), "")</f>
        <v/>
      </c>
      <c r="Q194" s="35" t="str">
        <f t="array" ref="Q194">IF($R194&lt;&gt;"",IFERROR(INDEX(Investment!$A:$A,MATCH($R194,Investment!$H:$H,0))),)</f>
        <v/>
      </c>
      <c r="R194" s="36" t="str">
        <f t="array" ref="R194">IF(AND($Y194="change",$H194="EUR"),IF(AND($AA194="Crédit",$O194=$O195),$R195,IF(AND($AA194="Débit",$O194=$O193),$R193)),IF(OR(AND(OR($E194&lt;&gt;"",$M194=""),$N194&lt;&gt;0),$A194=""),IFERROR(INDEX(Investment!$H:$H,MATCH($E194,Investment!$F:$F,0))),IFERROR(INDEX($R195:$R1119,MATCH(SUBSTITUTE($I194,"-","",1),$K195:$K1119,0)),INDEX($R195:$R1119,MATCH($K194,$K195:$K1119,0)))))</f>
        <v/>
      </c>
      <c r="S194" s="35" t="str">
        <f t="shared" si="2"/>
        <v/>
      </c>
      <c r="T194" s="37" t="str">
        <f t="shared" si="3"/>
        <v/>
      </c>
      <c r="U194" s="38" t="str">
        <f t="shared" si="4"/>
        <v/>
      </c>
      <c r="V194" s="31" t="str">
        <f t="shared" si="5"/>
        <v/>
      </c>
      <c r="W194" s="39" t="str">
        <f>IFERROR(__xludf.DUMMYFUNCTION(" IF(Account!$F194&lt;&gt;"""", SPLIT(Account!$F194, "" ""), """")"),"")</f>
        <v/>
      </c>
      <c r="X194" s="40"/>
      <c r="Y194" s="40"/>
      <c r="Z194" s="40"/>
      <c r="AA194" s="40"/>
      <c r="AB194" s="40"/>
      <c r="AC194" s="40"/>
      <c r="AD194" s="40"/>
      <c r="AE194" s="40"/>
      <c r="AF194" s="40"/>
      <c r="AG194" s="40"/>
      <c r="AH194" s="40"/>
      <c r="AI194" s="40"/>
      <c r="AJ194" s="40"/>
      <c r="AK194" s="40"/>
    </row>
    <row r="195">
      <c r="A195" s="10"/>
      <c r="B195" s="10"/>
      <c r="C195" s="10"/>
      <c r="D195" s="10"/>
      <c r="E195" s="10"/>
      <c r="F195" s="12"/>
      <c r="G195" s="10"/>
      <c r="H195" s="10"/>
      <c r="I195" s="10"/>
      <c r="J195" s="10"/>
      <c r="K195" s="10"/>
      <c r="L195" s="12"/>
      <c r="M195" s="29" t="str">
        <f t="shared" si="1"/>
        <v/>
      </c>
      <c r="N195" s="31" t="str">
        <f>IFERROR(__xludf.DUMMYFUNCTION("IF(Account!$F195&lt;&gt;"""", VALUE(REGEXREPLACE($I195, ""\,"", ""."")), """")"),"")</f>
        <v/>
      </c>
      <c r="O195" s="33" t="str">
        <f>IF(Account!$F195&lt;&gt;"", DATEVALUE(MID($A195,4,3) &amp; LEFT($A195,3) &amp; RIGHT($A195,4)) + TIMEVALUE($B195), "")</f>
        <v/>
      </c>
      <c r="P195" s="34" t="str">
        <f>IF(Account!$F195&lt;&gt;"", DATEVALUE(MID($C195,4,3) &amp; LEFT($C195,3) &amp; RIGHT($C195,4)), "")</f>
        <v/>
      </c>
      <c r="Q195" s="35" t="str">
        <f t="array" ref="Q195">IF($R195&lt;&gt;"",IFERROR(INDEX(Investment!$A:$A,MATCH($R195,Investment!$H:$H,0))),)</f>
        <v/>
      </c>
      <c r="R195" s="36" t="str">
        <f t="array" ref="R195">IF(AND($Y195="change",$H195="EUR"),IF(AND($AA195="Crédit",$O195=$O196),$R196,IF(AND($AA195="Débit",$O195=$O194),$R194)),IF(OR(AND(OR($E195&lt;&gt;"",$M195=""),$N195&lt;&gt;0),$A195=""),IFERROR(INDEX(Investment!$H:$H,MATCH($E195,Investment!$F:$F,0))),IFERROR(INDEX($R196:$R1119,MATCH(SUBSTITUTE($I195,"-","",1),$K196:$K1119,0)),INDEX($R196:$R1119,MATCH($K195,$K196:$K1119,0)))))</f>
        <v/>
      </c>
      <c r="S195" s="35" t="str">
        <f t="shared" si="2"/>
        <v/>
      </c>
      <c r="T195" s="37" t="str">
        <f t="shared" si="3"/>
        <v/>
      </c>
      <c r="U195" s="38" t="str">
        <f t="shared" si="4"/>
        <v/>
      </c>
      <c r="V195" s="31" t="str">
        <f t="shared" si="5"/>
        <v/>
      </c>
      <c r="W195" s="39" t="str">
        <f>IFERROR(__xludf.DUMMYFUNCTION(" IF(Account!$F195&lt;&gt;"""", SPLIT(Account!$F195, "" ""), """")"),"")</f>
        <v/>
      </c>
      <c r="X195" s="40"/>
      <c r="Y195" s="40"/>
      <c r="Z195" s="40"/>
      <c r="AA195" s="40"/>
      <c r="AB195" s="40"/>
      <c r="AC195" s="40"/>
      <c r="AD195" s="40"/>
      <c r="AE195" s="40"/>
      <c r="AF195" s="40"/>
      <c r="AG195" s="40"/>
      <c r="AH195" s="40"/>
      <c r="AI195" s="40"/>
      <c r="AJ195" s="40"/>
      <c r="AK195" s="40"/>
    </row>
    <row r="196">
      <c r="A196" s="10"/>
      <c r="B196" s="10"/>
      <c r="C196" s="10"/>
      <c r="D196" s="10"/>
      <c r="E196" s="10"/>
      <c r="F196" s="12"/>
      <c r="G196" s="300"/>
      <c r="H196" s="10"/>
      <c r="I196" s="10"/>
      <c r="J196" s="10"/>
      <c r="K196" s="10"/>
      <c r="L196" s="12"/>
      <c r="M196" s="29" t="str">
        <f t="shared" si="1"/>
        <v/>
      </c>
      <c r="N196" s="31" t="str">
        <f>IFERROR(__xludf.DUMMYFUNCTION("IF(Account!$F196&lt;&gt;"""", VALUE(REGEXREPLACE($I196, ""\,"", ""."")), """")"),"")</f>
        <v/>
      </c>
      <c r="O196" s="33" t="str">
        <f>IF(Account!$F196&lt;&gt;"", DATEVALUE(MID($A196,4,3) &amp; LEFT($A196,3) &amp; RIGHT($A196,4)) + TIMEVALUE($B196), "")</f>
        <v/>
      </c>
      <c r="P196" s="34" t="str">
        <f>IF(Account!$F196&lt;&gt;"", DATEVALUE(MID($C196,4,3) &amp; LEFT($C196,3) &amp; RIGHT($C196,4)), "")</f>
        <v/>
      </c>
      <c r="Q196" s="35" t="str">
        <f t="array" ref="Q196">IF($R196&lt;&gt;"",IFERROR(INDEX(Investment!$A:$A,MATCH($R196,Investment!$H:$H,0))),)</f>
        <v/>
      </c>
      <c r="R196" s="36" t="str">
        <f t="array" ref="R196">IF(AND($Y196="change",$H196="EUR"),IF(AND($AA196="Crédit",$O196=$O197),$R197,IF(AND($AA196="Débit",$O196=$O195),$R195)),IF(OR(AND(OR($E196&lt;&gt;"",$M196=""),$N196&lt;&gt;0),$A196=""),IFERROR(INDEX(Investment!$H:$H,MATCH($E196,Investment!$F:$F,0))),IFERROR(INDEX($R197:$R1119,MATCH(SUBSTITUTE($I196,"-","",1),$K197:$K1119,0)),INDEX($R197:$R1119,MATCH($K196,$K197:$K1119,0)))))</f>
        <v/>
      </c>
      <c r="S196" s="35" t="str">
        <f t="shared" si="2"/>
        <v/>
      </c>
      <c r="T196" s="37" t="str">
        <f t="shared" si="3"/>
        <v/>
      </c>
      <c r="U196" s="38" t="str">
        <f t="shared" si="4"/>
        <v/>
      </c>
      <c r="V196" s="31" t="str">
        <f t="shared" si="5"/>
        <v/>
      </c>
      <c r="W196" s="39" t="str">
        <f>IFERROR(__xludf.DUMMYFUNCTION(" IF(Account!$F196&lt;&gt;"""", SPLIT(Account!$F196, "" ""), """")"),"")</f>
        <v/>
      </c>
      <c r="X196" s="40"/>
      <c r="Y196" s="40"/>
      <c r="Z196" s="40"/>
      <c r="AA196" s="40"/>
      <c r="AB196" s="40"/>
      <c r="AC196" s="40"/>
      <c r="AD196" s="40"/>
      <c r="AE196" s="40"/>
      <c r="AF196" s="40"/>
      <c r="AG196" s="40"/>
      <c r="AH196" s="40"/>
      <c r="AI196" s="40"/>
      <c r="AJ196" s="40"/>
      <c r="AK196" s="40"/>
    </row>
    <row r="197">
      <c r="A197" s="10"/>
      <c r="B197" s="10"/>
      <c r="C197" s="10"/>
      <c r="D197" s="10"/>
      <c r="E197" s="10"/>
      <c r="F197" s="12"/>
      <c r="G197" s="10"/>
      <c r="H197" s="10"/>
      <c r="I197" s="10"/>
      <c r="J197" s="10"/>
      <c r="K197" s="10"/>
      <c r="L197" s="12"/>
      <c r="M197" s="29" t="str">
        <f t="shared" si="1"/>
        <v/>
      </c>
      <c r="N197" s="31" t="str">
        <f>IFERROR(__xludf.DUMMYFUNCTION("IF(Account!$F197&lt;&gt;"""", VALUE(REGEXREPLACE($I197, ""\,"", ""."")), """")"),"")</f>
        <v/>
      </c>
      <c r="O197" s="33" t="str">
        <f>IF(Account!$F197&lt;&gt;"", DATEVALUE(MID($A197,4,3) &amp; LEFT($A197,3) &amp; RIGHT($A197,4)) + TIMEVALUE($B197), "")</f>
        <v/>
      </c>
      <c r="P197" s="34" t="str">
        <f>IF(Account!$F197&lt;&gt;"", DATEVALUE(MID($C197,4,3) &amp; LEFT($C197,3) &amp; RIGHT($C197,4)), "")</f>
        <v/>
      </c>
      <c r="Q197" s="35" t="str">
        <f t="array" ref="Q197">IF($R197&lt;&gt;"",IFERROR(INDEX(Investment!$A:$A,MATCH($R197,Investment!$H:$H,0))),)</f>
        <v/>
      </c>
      <c r="R197" s="36" t="str">
        <f t="array" ref="R197">IF(AND($Y197="change",$H197="EUR"),IF(AND($AA197="Crédit",$O197=$O198),$R198,IF(AND($AA197="Débit",$O197=$O196),$R196)),IF(OR(AND(OR($E197&lt;&gt;"",$M197=""),$N197&lt;&gt;0),$A197=""),IFERROR(INDEX(Investment!$H:$H,MATCH($E197,Investment!$F:$F,0))),IFERROR(INDEX($R198:$R1119,MATCH(SUBSTITUTE($I197,"-","",1),$K198:$K1119,0)),INDEX($R198:$R1119,MATCH($K197,$K198:$K1119,0)))))</f>
        <v/>
      </c>
      <c r="S197" s="35" t="str">
        <f t="shared" si="2"/>
        <v/>
      </c>
      <c r="T197" s="37" t="str">
        <f t="shared" si="3"/>
        <v/>
      </c>
      <c r="U197" s="38" t="str">
        <f t="shared" si="4"/>
        <v/>
      </c>
      <c r="V197" s="31" t="str">
        <f t="shared" si="5"/>
        <v/>
      </c>
      <c r="W197" s="39" t="str">
        <f>IFERROR(__xludf.DUMMYFUNCTION(" IF(Account!$F197&lt;&gt;"""", SPLIT(Account!$F197, "" ""), """")"),"")</f>
        <v/>
      </c>
      <c r="X197" s="40"/>
      <c r="Y197" s="40"/>
      <c r="Z197" s="40"/>
      <c r="AA197" s="40"/>
      <c r="AB197" s="40"/>
      <c r="AC197" s="40"/>
      <c r="AD197" s="40"/>
      <c r="AE197" s="40"/>
      <c r="AF197" s="40"/>
      <c r="AG197" s="40"/>
      <c r="AH197" s="40"/>
      <c r="AI197" s="40"/>
      <c r="AJ197" s="40"/>
      <c r="AK197" s="40"/>
    </row>
    <row r="198">
      <c r="A198" s="10"/>
      <c r="B198" s="10"/>
      <c r="C198" s="10"/>
      <c r="D198" s="10"/>
      <c r="E198" s="10"/>
      <c r="F198" s="12"/>
      <c r="G198" s="300"/>
      <c r="H198" s="10"/>
      <c r="I198" s="10"/>
      <c r="J198" s="10"/>
      <c r="K198" s="10"/>
      <c r="L198" s="12"/>
      <c r="M198" s="29" t="str">
        <f t="shared" si="1"/>
        <v/>
      </c>
      <c r="N198" s="31" t="str">
        <f>IFERROR(__xludf.DUMMYFUNCTION("IF(Account!$F198&lt;&gt;"""", VALUE(REGEXREPLACE($I198, ""\,"", ""."")), """")"),"")</f>
        <v/>
      </c>
      <c r="O198" s="33" t="str">
        <f>IF(Account!$F198&lt;&gt;"", DATEVALUE(MID($A198,4,3) &amp; LEFT($A198,3) &amp; RIGHT($A198,4)) + TIMEVALUE($B198), "")</f>
        <v/>
      </c>
      <c r="P198" s="34" t="str">
        <f>IF(Account!$F198&lt;&gt;"", DATEVALUE(MID($C198,4,3) &amp; LEFT($C198,3) &amp; RIGHT($C198,4)), "")</f>
        <v/>
      </c>
      <c r="Q198" s="35" t="str">
        <f t="array" ref="Q198">IF($R198&lt;&gt;"",IFERROR(INDEX(Investment!$A:$A,MATCH($R198,Investment!$H:$H,0))),)</f>
        <v/>
      </c>
      <c r="R198" s="36" t="str">
        <f t="array" ref="R198">IF(AND($Y198="change",$H198="EUR"),IF(AND($AA198="Crédit",$O198=$O199),$R199,IF(AND($AA198="Débit",$O198=$O197),$R197)),IF(OR(AND(OR($E198&lt;&gt;"",$M198=""),$N198&lt;&gt;0),$A198=""),IFERROR(INDEX(Investment!$H:$H,MATCH($E198,Investment!$F:$F,0))),IFERROR(INDEX($R199:$R1119,MATCH(SUBSTITUTE($I198,"-","",1),$K199:$K1119,0)),INDEX($R199:$R1119,MATCH($K198,$K199:$K1119,0)))))</f>
        <v/>
      </c>
      <c r="S198" s="35" t="str">
        <f t="shared" si="2"/>
        <v/>
      </c>
      <c r="T198" s="37" t="str">
        <f t="shared" si="3"/>
        <v/>
      </c>
      <c r="U198" s="38" t="str">
        <f t="shared" si="4"/>
        <v/>
      </c>
      <c r="V198" s="31" t="str">
        <f t="shared" si="5"/>
        <v/>
      </c>
      <c r="W198" s="39" t="str">
        <f>IFERROR(__xludf.DUMMYFUNCTION(" IF(Account!$F198&lt;&gt;"""", SPLIT(Account!$F198, "" ""), """")"),"")</f>
        <v/>
      </c>
      <c r="X198" s="40"/>
      <c r="Y198" s="40"/>
      <c r="Z198" s="40"/>
      <c r="AA198" s="40"/>
      <c r="AB198" s="40"/>
      <c r="AC198" s="40"/>
      <c r="AD198" s="40"/>
      <c r="AE198" s="40"/>
      <c r="AF198" s="40"/>
      <c r="AG198" s="40"/>
      <c r="AH198" s="40"/>
      <c r="AI198" s="40"/>
      <c r="AJ198" s="40"/>
      <c r="AK198" s="40"/>
    </row>
    <row r="199">
      <c r="A199" s="10"/>
      <c r="B199" s="10"/>
      <c r="C199" s="10"/>
      <c r="D199" s="10"/>
      <c r="E199" s="10"/>
      <c r="F199" s="12"/>
      <c r="G199" s="10"/>
      <c r="H199" s="10"/>
      <c r="I199" s="10"/>
      <c r="J199" s="10"/>
      <c r="K199" s="10"/>
      <c r="L199" s="12"/>
      <c r="M199" s="29" t="str">
        <f t="shared" si="1"/>
        <v/>
      </c>
      <c r="N199" s="31" t="str">
        <f>IFERROR(__xludf.DUMMYFUNCTION("IF(Account!$F199&lt;&gt;"""", VALUE(REGEXREPLACE($I199, ""\,"", ""."")), """")"),"")</f>
        <v/>
      </c>
      <c r="O199" s="33" t="str">
        <f>IF(Account!$F199&lt;&gt;"", DATEVALUE(MID($A199,4,3) &amp; LEFT($A199,3) &amp; RIGHT($A199,4)) + TIMEVALUE($B199), "")</f>
        <v/>
      </c>
      <c r="P199" s="34" t="str">
        <f>IF(Account!$F199&lt;&gt;"", DATEVALUE(MID($C199,4,3) &amp; LEFT($C199,3) &amp; RIGHT($C199,4)), "")</f>
        <v/>
      </c>
      <c r="Q199" s="35" t="str">
        <f t="array" ref="Q199">IF($R199&lt;&gt;"",IFERROR(INDEX(Investment!$A:$A,MATCH($R199,Investment!$H:$H,0))),)</f>
        <v/>
      </c>
      <c r="R199" s="36" t="str">
        <f t="array" ref="R199">IF(AND($Y199="change",$H199="EUR"),IF(AND($AA199="Crédit",$O199=$O200),$R200,IF(AND($AA199="Débit",$O199=$O198),$R198)),IF(OR(AND(OR($E199&lt;&gt;"",$M199=""),$N199&lt;&gt;0),$A199=""),IFERROR(INDEX(Investment!$H:$H,MATCH($E199,Investment!$F:$F,0))),IFERROR(INDEX($R200:$R1119,MATCH(SUBSTITUTE($I199,"-","",1),$K200:$K1119,0)),INDEX($R200:$R1119,MATCH($K199,$K200:$K1119,0)))))</f>
        <v/>
      </c>
      <c r="S199" s="35" t="str">
        <f t="shared" si="2"/>
        <v/>
      </c>
      <c r="T199" s="37" t="str">
        <f t="shared" si="3"/>
        <v/>
      </c>
      <c r="U199" s="38" t="str">
        <f t="shared" si="4"/>
        <v/>
      </c>
      <c r="V199" s="31" t="str">
        <f t="shared" si="5"/>
        <v/>
      </c>
      <c r="W199" s="39" t="str">
        <f>IFERROR(__xludf.DUMMYFUNCTION(" IF(Account!$F199&lt;&gt;"""", SPLIT(Account!$F199, "" ""), """")"),"")</f>
        <v/>
      </c>
      <c r="X199" s="40"/>
      <c r="Y199" s="40"/>
      <c r="Z199" s="40"/>
      <c r="AA199" s="40"/>
      <c r="AB199" s="40"/>
      <c r="AC199" s="40"/>
      <c r="AD199" s="40"/>
      <c r="AE199" s="40"/>
      <c r="AF199" s="40"/>
      <c r="AG199" s="40"/>
      <c r="AH199" s="40"/>
      <c r="AI199" s="40"/>
      <c r="AJ199" s="40"/>
      <c r="AK199" s="40"/>
    </row>
    <row r="200">
      <c r="A200" s="10"/>
      <c r="B200" s="10"/>
      <c r="C200" s="10"/>
      <c r="D200" s="10"/>
      <c r="E200" s="10"/>
      <c r="F200" s="12"/>
      <c r="G200" s="300"/>
      <c r="H200" s="10"/>
      <c r="I200" s="10"/>
      <c r="J200" s="10"/>
      <c r="K200" s="10"/>
      <c r="L200" s="12"/>
      <c r="M200" s="29" t="str">
        <f t="shared" si="1"/>
        <v/>
      </c>
      <c r="N200" s="31" t="str">
        <f>IFERROR(__xludf.DUMMYFUNCTION("IF(Account!$F200&lt;&gt;"""", VALUE(REGEXREPLACE($I200, ""\,"", ""."")), """")"),"")</f>
        <v/>
      </c>
      <c r="O200" s="33" t="str">
        <f>IF(Account!$F200&lt;&gt;"", DATEVALUE(MID($A200,4,3) &amp; LEFT($A200,3) &amp; RIGHT($A200,4)) + TIMEVALUE($B200), "")</f>
        <v/>
      </c>
      <c r="P200" s="34" t="str">
        <f>IF(Account!$F200&lt;&gt;"", DATEVALUE(MID($C200,4,3) &amp; LEFT($C200,3) &amp; RIGHT($C200,4)), "")</f>
        <v/>
      </c>
      <c r="Q200" s="35" t="str">
        <f t="array" ref="Q200">IF($R200&lt;&gt;"",IFERROR(INDEX(Investment!$A:$A,MATCH($R200,Investment!$H:$H,0))),)</f>
        <v/>
      </c>
      <c r="R200" s="36" t="str">
        <f t="array" ref="R200">IF(AND($Y200="change",$H200="EUR"),IF(AND($AA200="Crédit",$O200=$O201),$R201,IF(AND($AA200="Débit",$O200=$O199),$R199)),IF(OR(AND(OR($E200&lt;&gt;"",$M200=""),$N200&lt;&gt;0),$A200=""),IFERROR(INDEX(Investment!$H:$H,MATCH($E200,Investment!$F:$F,0))),IFERROR(INDEX($R201:$R1119,MATCH(SUBSTITUTE($I200,"-","",1),$K201:$K1119,0)),INDEX($R201:$R1119,MATCH($K200,$K201:$K1119,0)))))</f>
        <v/>
      </c>
      <c r="S200" s="35" t="str">
        <f t="shared" si="2"/>
        <v/>
      </c>
      <c r="T200" s="37" t="str">
        <f t="shared" si="3"/>
        <v/>
      </c>
      <c r="U200" s="38" t="str">
        <f t="shared" si="4"/>
        <v/>
      </c>
      <c r="V200" s="31" t="str">
        <f t="shared" si="5"/>
        <v/>
      </c>
      <c r="W200" s="39" t="str">
        <f>IFERROR(__xludf.DUMMYFUNCTION(" IF(Account!$F200&lt;&gt;"""", SPLIT(Account!$F200, "" ""), """")"),"")</f>
        <v/>
      </c>
      <c r="X200" s="40"/>
      <c r="Y200" s="40"/>
      <c r="Z200" s="40"/>
      <c r="AA200" s="40"/>
      <c r="AB200" s="40"/>
      <c r="AC200" s="40"/>
      <c r="AD200" s="40"/>
      <c r="AE200" s="40"/>
      <c r="AF200" s="40"/>
      <c r="AG200" s="40"/>
      <c r="AH200" s="40"/>
      <c r="AI200" s="40"/>
      <c r="AJ200" s="40"/>
      <c r="AK200" s="40"/>
    </row>
    <row r="201">
      <c r="A201" s="10"/>
      <c r="B201" s="10"/>
      <c r="C201" s="10"/>
      <c r="D201" s="10"/>
      <c r="E201" s="10"/>
      <c r="F201" s="12"/>
      <c r="G201" s="10"/>
      <c r="H201" s="10"/>
      <c r="I201" s="10"/>
      <c r="J201" s="10"/>
      <c r="K201" s="10"/>
      <c r="L201" s="12"/>
      <c r="M201" s="29" t="str">
        <f t="shared" si="1"/>
        <v/>
      </c>
      <c r="N201" s="31" t="str">
        <f>IFERROR(__xludf.DUMMYFUNCTION("IF(Account!$F201&lt;&gt;"""", VALUE(REGEXREPLACE($I201, ""\,"", ""."")), """")"),"")</f>
        <v/>
      </c>
      <c r="O201" s="33" t="str">
        <f>IF(Account!$F201&lt;&gt;"", DATEVALUE(MID($A201,4,3) &amp; LEFT($A201,3) &amp; RIGHT($A201,4)) + TIMEVALUE($B201), "")</f>
        <v/>
      </c>
      <c r="P201" s="34" t="str">
        <f>IF(Account!$F201&lt;&gt;"", DATEVALUE(MID($C201,4,3) &amp; LEFT($C201,3) &amp; RIGHT($C201,4)), "")</f>
        <v/>
      </c>
      <c r="Q201" s="35" t="str">
        <f t="array" ref="Q201">IF($R201&lt;&gt;"",IFERROR(INDEX(Investment!$A:$A,MATCH($R201,Investment!$H:$H,0))),)</f>
        <v/>
      </c>
      <c r="R201" s="36" t="str">
        <f t="array" ref="R201">IF(AND($Y201="change",$H201="EUR"),IF(AND($AA201="Crédit",$O201=$O202),$R202,IF(AND($AA201="Débit",$O201=$O200),$R200)),IF(OR(AND(OR($E201&lt;&gt;"",$M201=""),$N201&lt;&gt;0),$A201=""),IFERROR(INDEX(Investment!$H:$H,MATCH($E201,Investment!$F:$F,0))),IFERROR(INDEX($R202:$R1119,MATCH(SUBSTITUTE($I201,"-","",1),$K202:$K1119,0)),INDEX($R202:$R1119,MATCH($K201,$K202:$K1119,0)))))</f>
        <v/>
      </c>
      <c r="S201" s="35" t="str">
        <f t="shared" si="2"/>
        <v/>
      </c>
      <c r="T201" s="37" t="str">
        <f t="shared" si="3"/>
        <v/>
      </c>
      <c r="U201" s="38" t="str">
        <f t="shared" si="4"/>
        <v/>
      </c>
      <c r="V201" s="31" t="str">
        <f t="shared" si="5"/>
        <v/>
      </c>
      <c r="W201" s="39" t="str">
        <f>IFERROR(__xludf.DUMMYFUNCTION(" IF(Account!$F201&lt;&gt;"""", SPLIT(Account!$F201, "" ""), """")"),"")</f>
        <v/>
      </c>
      <c r="X201" s="40"/>
      <c r="Y201" s="40"/>
      <c r="Z201" s="40"/>
      <c r="AA201" s="40"/>
      <c r="AB201" s="40"/>
      <c r="AC201" s="40"/>
      <c r="AD201" s="40"/>
      <c r="AE201" s="40"/>
      <c r="AF201" s="40"/>
      <c r="AG201" s="40"/>
      <c r="AH201" s="40"/>
      <c r="AI201" s="40"/>
      <c r="AJ201" s="40"/>
      <c r="AK201" s="40"/>
    </row>
    <row r="202">
      <c r="A202" s="10"/>
      <c r="B202" s="10"/>
      <c r="C202" s="10"/>
      <c r="D202" s="10"/>
      <c r="E202" s="10"/>
      <c r="F202" s="12"/>
      <c r="G202" s="10"/>
      <c r="H202" s="10"/>
      <c r="I202" s="10"/>
      <c r="J202" s="10"/>
      <c r="K202" s="10"/>
      <c r="L202" s="12"/>
      <c r="M202" s="29" t="str">
        <f t="shared" si="1"/>
        <v/>
      </c>
      <c r="N202" s="31" t="str">
        <f>IFERROR(__xludf.DUMMYFUNCTION("IF(Account!$F202&lt;&gt;"""", VALUE(REGEXREPLACE($I202, ""\,"", ""."")), """")"),"")</f>
        <v/>
      </c>
      <c r="O202" s="33" t="str">
        <f>IF(Account!$F202&lt;&gt;"", DATEVALUE(MID($A202,4,3) &amp; LEFT($A202,3) &amp; RIGHT($A202,4)) + TIMEVALUE($B202), "")</f>
        <v/>
      </c>
      <c r="P202" s="34" t="str">
        <f>IF(Account!$F202&lt;&gt;"", DATEVALUE(MID($C202,4,3) &amp; LEFT($C202,3) &amp; RIGHT($C202,4)), "")</f>
        <v/>
      </c>
      <c r="Q202" s="35" t="str">
        <f t="array" ref="Q202">IF($R202&lt;&gt;"",IFERROR(INDEX(Investment!$A:$A,MATCH($R202,Investment!$H:$H,0))),)</f>
        <v/>
      </c>
      <c r="R202" s="36" t="str">
        <f t="array" ref="R202">IF(AND($Y202="change",$H202="EUR"),IF(AND($AA202="Crédit",$O202=$O203),$R203,IF(AND($AA202="Débit",$O202=$O201),$R201)),IF(OR(AND(OR($E202&lt;&gt;"",$M202=""),$N202&lt;&gt;0),$A202=""),IFERROR(INDEX(Investment!$H:$H,MATCH($E202,Investment!$F:$F,0))),IFERROR(INDEX($R203:$R1119,MATCH(SUBSTITUTE($I202,"-","",1),$K203:$K1119,0)),INDEX($R203:$R1119,MATCH($K202,$K203:$K1119,0)))))</f>
        <v/>
      </c>
      <c r="S202" s="35" t="str">
        <f t="shared" si="2"/>
        <v/>
      </c>
      <c r="T202" s="37" t="str">
        <f t="shared" si="3"/>
        <v/>
      </c>
      <c r="U202" s="38" t="str">
        <f t="shared" si="4"/>
        <v/>
      </c>
      <c r="V202" s="31" t="str">
        <f t="shared" si="5"/>
        <v/>
      </c>
      <c r="W202" s="39" t="str">
        <f>IFERROR(__xludf.DUMMYFUNCTION(" IF(Account!$F202&lt;&gt;"""", SPLIT(Account!$F202, "" ""), """")"),"")</f>
        <v/>
      </c>
      <c r="X202" s="40"/>
      <c r="Y202" s="40"/>
      <c r="Z202" s="40"/>
      <c r="AA202" s="40"/>
      <c r="AB202" s="40"/>
      <c r="AC202" s="40"/>
      <c r="AD202" s="40"/>
      <c r="AE202" s="40"/>
      <c r="AF202" s="40"/>
      <c r="AG202" s="40"/>
      <c r="AH202" s="40"/>
      <c r="AI202" s="40"/>
      <c r="AJ202" s="40"/>
      <c r="AK202" s="40"/>
    </row>
    <row r="203">
      <c r="A203" s="10"/>
      <c r="B203" s="10"/>
      <c r="C203" s="10"/>
      <c r="D203" s="10"/>
      <c r="E203" s="10"/>
      <c r="F203" s="12"/>
      <c r="G203" s="10"/>
      <c r="H203" s="10"/>
      <c r="I203" s="10"/>
      <c r="J203" s="10"/>
      <c r="K203" s="10"/>
      <c r="L203" s="12"/>
      <c r="M203" s="29" t="str">
        <f t="shared" si="1"/>
        <v/>
      </c>
      <c r="N203" s="31" t="str">
        <f>IFERROR(__xludf.DUMMYFUNCTION("IF(Account!$F203&lt;&gt;"""", VALUE(REGEXREPLACE($I203, ""\,"", ""."")), """")"),"")</f>
        <v/>
      </c>
      <c r="O203" s="33" t="str">
        <f>IF(Account!$F203&lt;&gt;"", DATEVALUE(MID($A203,4,3) &amp; LEFT($A203,3) &amp; RIGHT($A203,4)) + TIMEVALUE($B203), "")</f>
        <v/>
      </c>
      <c r="P203" s="34" t="str">
        <f>IF(Account!$F203&lt;&gt;"", DATEVALUE(MID($C203,4,3) &amp; LEFT($C203,3) &amp; RIGHT($C203,4)), "")</f>
        <v/>
      </c>
      <c r="Q203" s="35" t="str">
        <f t="array" ref="Q203">IF($R203&lt;&gt;"",IFERROR(INDEX(Investment!$A:$A,MATCH($R203,Investment!$H:$H,0))),)</f>
        <v/>
      </c>
      <c r="R203" s="36" t="str">
        <f t="array" ref="R203">IF(AND($Y203="change",$H203="EUR"),IF(AND($AA203="Crédit",$O203=$O204),$R204,IF(AND($AA203="Débit",$O203=$O202),$R202)),IF(OR(AND(OR($E203&lt;&gt;"",$M203=""),$N203&lt;&gt;0),$A203=""),IFERROR(INDEX(Investment!$H:$H,MATCH($E203,Investment!$F:$F,0))),IFERROR(INDEX($R204:$R1119,MATCH(SUBSTITUTE($I203,"-","",1),$K204:$K1119,0)),INDEX($R204:$R1119,MATCH($K203,$K204:$K1119,0)))))</f>
        <v/>
      </c>
      <c r="S203" s="35" t="str">
        <f t="shared" si="2"/>
        <v/>
      </c>
      <c r="T203" s="37" t="str">
        <f t="shared" si="3"/>
        <v/>
      </c>
      <c r="U203" s="38" t="str">
        <f t="shared" si="4"/>
        <v/>
      </c>
      <c r="V203" s="31" t="str">
        <f t="shared" si="5"/>
        <v/>
      </c>
      <c r="W203" s="39" t="str">
        <f>IFERROR(__xludf.DUMMYFUNCTION(" IF(Account!$F203&lt;&gt;"""", SPLIT(Account!$F203, "" ""), """")"),"")</f>
        <v/>
      </c>
      <c r="X203" s="40"/>
      <c r="Y203" s="40"/>
      <c r="Z203" s="40"/>
      <c r="AA203" s="40"/>
      <c r="AB203" s="40"/>
      <c r="AC203" s="40"/>
      <c r="AD203" s="40"/>
      <c r="AE203" s="40"/>
      <c r="AF203" s="40"/>
      <c r="AG203" s="40"/>
      <c r="AH203" s="40"/>
      <c r="AI203" s="40"/>
      <c r="AJ203" s="40"/>
      <c r="AK203" s="40"/>
    </row>
    <row r="204">
      <c r="A204" s="10"/>
      <c r="B204" s="10"/>
      <c r="C204" s="10"/>
      <c r="D204" s="10"/>
      <c r="E204" s="10"/>
      <c r="F204" s="12"/>
      <c r="G204" s="300"/>
      <c r="H204" s="10"/>
      <c r="I204" s="10"/>
      <c r="J204" s="10"/>
      <c r="K204" s="10"/>
      <c r="L204" s="12"/>
      <c r="M204" s="29" t="str">
        <f t="shared" si="1"/>
        <v/>
      </c>
      <c r="N204" s="31" t="str">
        <f>IFERROR(__xludf.DUMMYFUNCTION("IF(Account!$F204&lt;&gt;"""", VALUE(REGEXREPLACE($I204, ""\,"", ""."")), """")"),"")</f>
        <v/>
      </c>
      <c r="O204" s="33" t="str">
        <f>IF(Account!$F204&lt;&gt;"", DATEVALUE(MID($A204,4,3) &amp; LEFT($A204,3) &amp; RIGHT($A204,4)) + TIMEVALUE($B204), "")</f>
        <v/>
      </c>
      <c r="P204" s="34" t="str">
        <f>IF(Account!$F204&lt;&gt;"", DATEVALUE(MID($C204,4,3) &amp; LEFT($C204,3) &amp; RIGHT($C204,4)), "")</f>
        <v/>
      </c>
      <c r="Q204" s="35" t="str">
        <f t="array" ref="Q204">IF($R204&lt;&gt;"",IFERROR(INDEX(Investment!$A:$A,MATCH($R204,Investment!$H:$H,0))),)</f>
        <v/>
      </c>
      <c r="R204" s="36" t="str">
        <f t="array" ref="R204">IF(AND($Y204="change",$H204="EUR"),IF(AND($AA204="Crédit",$O204=$O205),$R205,IF(AND($AA204="Débit",$O204=$O203),$R203)),IF(OR(AND(OR($E204&lt;&gt;"",$M204=""),$N204&lt;&gt;0),$A204=""),IFERROR(INDEX(Investment!$H:$H,MATCH($E204,Investment!$F:$F,0))),IFERROR(INDEX($R205:$R1119,MATCH(SUBSTITUTE($I204,"-","",1),$K205:$K1119,0)),INDEX($R205:$R1119,MATCH($K204,$K205:$K1119,0)))))</f>
        <v/>
      </c>
      <c r="S204" s="35" t="str">
        <f t="shared" si="2"/>
        <v/>
      </c>
      <c r="T204" s="37" t="str">
        <f t="shared" si="3"/>
        <v/>
      </c>
      <c r="U204" s="38" t="str">
        <f t="shared" si="4"/>
        <v/>
      </c>
      <c r="V204" s="31" t="str">
        <f t="shared" si="5"/>
        <v/>
      </c>
      <c r="W204" s="39" t="str">
        <f>IFERROR(__xludf.DUMMYFUNCTION(" IF(Account!$F204&lt;&gt;"""", SPLIT(Account!$F204, "" ""), """")"),"")</f>
        <v/>
      </c>
      <c r="X204" s="40"/>
      <c r="Y204" s="40"/>
      <c r="Z204" s="40"/>
      <c r="AA204" s="40"/>
      <c r="AB204" s="40"/>
      <c r="AC204" s="40"/>
      <c r="AD204" s="40"/>
      <c r="AE204" s="40"/>
      <c r="AF204" s="40"/>
      <c r="AG204" s="40"/>
      <c r="AH204" s="40"/>
      <c r="AI204" s="40"/>
      <c r="AJ204" s="40"/>
      <c r="AK204" s="40"/>
    </row>
    <row r="205">
      <c r="A205" s="10"/>
      <c r="B205" s="10"/>
      <c r="C205" s="10"/>
      <c r="D205" s="10"/>
      <c r="E205" s="10"/>
      <c r="F205" s="12"/>
      <c r="G205" s="10"/>
      <c r="H205" s="10"/>
      <c r="I205" s="10"/>
      <c r="J205" s="10"/>
      <c r="K205" s="10"/>
      <c r="L205" s="12"/>
      <c r="M205" s="29" t="str">
        <f t="shared" si="1"/>
        <v/>
      </c>
      <c r="N205" s="31" t="str">
        <f>IFERROR(__xludf.DUMMYFUNCTION("IF(Account!$F205&lt;&gt;"""", VALUE(REGEXREPLACE($I205, ""\,"", ""."")), """")"),"")</f>
        <v/>
      </c>
      <c r="O205" s="33" t="str">
        <f>IF(Account!$F205&lt;&gt;"", DATEVALUE(MID($A205,4,3) &amp; LEFT($A205,3) &amp; RIGHT($A205,4)) + TIMEVALUE($B205), "")</f>
        <v/>
      </c>
      <c r="P205" s="34" t="str">
        <f>IF(Account!$F205&lt;&gt;"", DATEVALUE(MID($C205,4,3) &amp; LEFT($C205,3) &amp; RIGHT($C205,4)), "")</f>
        <v/>
      </c>
      <c r="Q205" s="35" t="str">
        <f t="array" ref="Q205">IF($R205&lt;&gt;"",IFERROR(INDEX(Investment!$A:$A,MATCH($R205,Investment!$H:$H,0))),)</f>
        <v/>
      </c>
      <c r="R205" s="36" t="str">
        <f t="array" ref="R205">IF(AND($Y205="change",$H205="EUR"),IF(AND($AA205="Crédit",$O205=$O206),$R206,IF(AND($AA205="Débit",$O205=$O204),$R204)),IF(OR(AND(OR($E205&lt;&gt;"",$M205=""),$N205&lt;&gt;0),$A205=""),IFERROR(INDEX(Investment!$H:$H,MATCH($E205,Investment!$F:$F,0))),IFERROR(INDEX($R206:$R1119,MATCH(SUBSTITUTE($I205,"-","",1),$K206:$K1119,0)),INDEX($R206:$R1119,MATCH($K205,$K206:$K1119,0)))))</f>
        <v/>
      </c>
      <c r="S205" s="35" t="str">
        <f t="shared" si="2"/>
        <v/>
      </c>
      <c r="T205" s="37" t="str">
        <f t="shared" si="3"/>
        <v/>
      </c>
      <c r="U205" s="38" t="str">
        <f t="shared" si="4"/>
        <v/>
      </c>
      <c r="V205" s="31" t="str">
        <f t="shared" si="5"/>
        <v/>
      </c>
      <c r="W205" s="39" t="str">
        <f>IFERROR(__xludf.DUMMYFUNCTION(" IF(Account!$F205&lt;&gt;"""", SPLIT(Account!$F205, "" ""), """")"),"")</f>
        <v/>
      </c>
      <c r="X205" s="40"/>
      <c r="Y205" s="40"/>
      <c r="Z205" s="40"/>
      <c r="AA205" s="40"/>
      <c r="AB205" s="40"/>
      <c r="AC205" s="40"/>
      <c r="AD205" s="40"/>
      <c r="AE205" s="40"/>
      <c r="AF205" s="40"/>
      <c r="AG205" s="40"/>
      <c r="AH205" s="40"/>
      <c r="AI205" s="40"/>
      <c r="AJ205" s="40"/>
      <c r="AK205" s="40"/>
    </row>
    <row r="206">
      <c r="A206" s="10"/>
      <c r="B206" s="10"/>
      <c r="C206" s="10"/>
      <c r="D206" s="10"/>
      <c r="E206" s="10"/>
      <c r="F206" s="12"/>
      <c r="G206" s="10"/>
      <c r="H206" s="10"/>
      <c r="I206" s="10"/>
      <c r="J206" s="10"/>
      <c r="K206" s="10"/>
      <c r="L206" s="12"/>
      <c r="M206" s="29" t="str">
        <f t="shared" si="1"/>
        <v/>
      </c>
      <c r="N206" s="31" t="str">
        <f>IFERROR(__xludf.DUMMYFUNCTION("IF(Account!$F206&lt;&gt;"""", VALUE(REGEXREPLACE($I206, ""\,"", ""."")), """")"),"")</f>
        <v/>
      </c>
      <c r="O206" s="33" t="str">
        <f>IF(Account!$F206&lt;&gt;"", DATEVALUE(MID($A206,4,3) &amp; LEFT($A206,3) &amp; RIGHT($A206,4)) + TIMEVALUE($B206), "")</f>
        <v/>
      </c>
      <c r="P206" s="34" t="str">
        <f>IF(Account!$F206&lt;&gt;"", DATEVALUE(MID($C206,4,3) &amp; LEFT($C206,3) &amp; RIGHT($C206,4)), "")</f>
        <v/>
      </c>
      <c r="Q206" s="35" t="str">
        <f t="array" ref="Q206">IF($R206&lt;&gt;"",IFERROR(INDEX(Investment!$A:$A,MATCH($R206,Investment!$H:$H,0))),)</f>
        <v/>
      </c>
      <c r="R206" s="36" t="str">
        <f t="array" ref="R206">IF(AND($Y206="change",$H206="EUR"),IF(AND($AA206="Crédit",$O206=$O207),$R207,IF(AND($AA206="Débit",$O206=$O205),$R205)),IF(OR(AND(OR($E206&lt;&gt;"",$M206=""),$N206&lt;&gt;0),$A206=""),IFERROR(INDEX(Investment!$H:$H,MATCH($E206,Investment!$F:$F,0))),IFERROR(INDEX($R207:$R1119,MATCH(SUBSTITUTE($I206,"-","",1),$K207:$K1119,0)),INDEX($R207:$R1119,MATCH($K206,$K207:$K1119,0)))))</f>
        <v/>
      </c>
      <c r="S206" s="35" t="str">
        <f t="shared" si="2"/>
        <v/>
      </c>
      <c r="T206" s="37" t="str">
        <f t="shared" si="3"/>
        <v/>
      </c>
      <c r="U206" s="38" t="str">
        <f t="shared" si="4"/>
        <v/>
      </c>
      <c r="V206" s="31" t="str">
        <f t="shared" si="5"/>
        <v/>
      </c>
      <c r="W206" s="39" t="str">
        <f>IFERROR(__xludf.DUMMYFUNCTION(" IF(Account!$F206&lt;&gt;"""", SPLIT(Account!$F206, "" ""), """")"),"")</f>
        <v/>
      </c>
      <c r="X206" s="40"/>
      <c r="Y206" s="40"/>
      <c r="Z206" s="40"/>
      <c r="AA206" s="40"/>
      <c r="AB206" s="40"/>
      <c r="AC206" s="40"/>
      <c r="AD206" s="40"/>
      <c r="AE206" s="40"/>
      <c r="AF206" s="40"/>
      <c r="AG206" s="40"/>
      <c r="AH206" s="40"/>
      <c r="AI206" s="40"/>
      <c r="AJ206" s="40"/>
      <c r="AK206" s="40"/>
    </row>
    <row r="207">
      <c r="A207" s="10"/>
      <c r="B207" s="10"/>
      <c r="C207" s="10"/>
      <c r="D207" s="10"/>
      <c r="E207" s="10"/>
      <c r="F207" s="12"/>
      <c r="G207" s="10"/>
      <c r="H207" s="10"/>
      <c r="I207" s="10"/>
      <c r="J207" s="10"/>
      <c r="K207" s="10"/>
      <c r="L207" s="12"/>
      <c r="M207" s="29" t="str">
        <f t="shared" si="1"/>
        <v/>
      </c>
      <c r="N207" s="31" t="str">
        <f>IFERROR(__xludf.DUMMYFUNCTION("IF(Account!$F207&lt;&gt;"""", VALUE(REGEXREPLACE($I207, ""\,"", ""."")), """")"),"")</f>
        <v/>
      </c>
      <c r="O207" s="33" t="str">
        <f>IF(Account!$F207&lt;&gt;"", DATEVALUE(MID($A207,4,3) &amp; LEFT($A207,3) &amp; RIGHT($A207,4)) + TIMEVALUE($B207), "")</f>
        <v/>
      </c>
      <c r="P207" s="34" t="str">
        <f>IF(Account!$F207&lt;&gt;"", DATEVALUE(MID($C207,4,3) &amp; LEFT($C207,3) &amp; RIGHT($C207,4)), "")</f>
        <v/>
      </c>
      <c r="Q207" s="35" t="str">
        <f t="array" ref="Q207">IF($R207&lt;&gt;"",IFERROR(INDEX(Investment!$A:$A,MATCH($R207,Investment!$H:$H,0))),)</f>
        <v/>
      </c>
      <c r="R207" s="36" t="str">
        <f t="array" ref="R207">IF(AND($Y207="change",$H207="EUR"),IF(AND($AA207="Crédit",$O207=$O208),$R208,IF(AND($AA207="Débit",$O207=$O206),$R206)),IF(OR(AND(OR($E207&lt;&gt;"",$M207=""),$N207&lt;&gt;0),$A207=""),IFERROR(INDEX(Investment!$H:$H,MATCH($E207,Investment!$F:$F,0))),IFERROR(INDEX($R208:$R1119,MATCH(SUBSTITUTE($I207,"-","",1),$K208:$K1119,0)),INDEX($R208:$R1119,MATCH($K207,$K208:$K1119,0)))))</f>
        <v/>
      </c>
      <c r="S207" s="35" t="str">
        <f t="shared" si="2"/>
        <v/>
      </c>
      <c r="T207" s="37" t="str">
        <f t="shared" si="3"/>
        <v/>
      </c>
      <c r="U207" s="38" t="str">
        <f t="shared" si="4"/>
        <v/>
      </c>
      <c r="V207" s="31" t="str">
        <f t="shared" si="5"/>
        <v/>
      </c>
      <c r="W207" s="39" t="str">
        <f>IFERROR(__xludf.DUMMYFUNCTION(" IF(Account!$F207&lt;&gt;"""", SPLIT(Account!$F207, "" ""), """")"),"")</f>
        <v/>
      </c>
      <c r="X207" s="40"/>
      <c r="Y207" s="40"/>
      <c r="Z207" s="40"/>
      <c r="AA207" s="40"/>
      <c r="AB207" s="40"/>
      <c r="AC207" s="40"/>
      <c r="AD207" s="40"/>
      <c r="AE207" s="40"/>
      <c r="AF207" s="40"/>
      <c r="AG207" s="40"/>
      <c r="AH207" s="40"/>
      <c r="AI207" s="40"/>
      <c r="AJ207" s="40"/>
      <c r="AK207" s="40"/>
    </row>
    <row r="208">
      <c r="A208" s="10"/>
      <c r="B208" s="10"/>
      <c r="C208" s="10"/>
      <c r="D208" s="10"/>
      <c r="E208" s="10"/>
      <c r="F208" s="12"/>
      <c r="G208" s="10"/>
      <c r="H208" s="10"/>
      <c r="I208" s="10"/>
      <c r="J208" s="10"/>
      <c r="K208" s="10"/>
      <c r="L208" s="12"/>
      <c r="M208" s="29" t="str">
        <f t="shared" si="1"/>
        <v/>
      </c>
      <c r="N208" s="31" t="str">
        <f>IFERROR(__xludf.DUMMYFUNCTION("IF(Account!$F208&lt;&gt;"""", VALUE(REGEXREPLACE($I208, ""\,"", ""."")), """")"),"")</f>
        <v/>
      </c>
      <c r="O208" s="33" t="str">
        <f>IF(Account!$F208&lt;&gt;"", DATEVALUE(MID($A208,4,3) &amp; LEFT($A208,3) &amp; RIGHT($A208,4)) + TIMEVALUE($B208), "")</f>
        <v/>
      </c>
      <c r="P208" s="34" t="str">
        <f>IF(Account!$F208&lt;&gt;"", DATEVALUE(MID($C208,4,3) &amp; LEFT($C208,3) &amp; RIGHT($C208,4)), "")</f>
        <v/>
      </c>
      <c r="Q208" s="35" t="str">
        <f t="array" ref="Q208">IF($R208&lt;&gt;"",IFERROR(INDEX(Investment!$A:$A,MATCH($R208,Investment!$H:$H,0))),)</f>
        <v/>
      </c>
      <c r="R208" s="36" t="str">
        <f t="array" ref="R208">IF(AND($Y208="change",$H208="EUR"),IF(AND($AA208="Crédit",$O208=$O209),$R209,IF(AND($AA208="Débit",$O208=$O207),$R207)),IF(OR(AND(OR($E208&lt;&gt;"",$M208=""),$N208&lt;&gt;0),$A208=""),IFERROR(INDEX(Investment!$H:$H,MATCH($E208,Investment!$F:$F,0))),IFERROR(INDEX($R209:$R1119,MATCH(SUBSTITUTE($I208,"-","",1),$K209:$K1119,0)),INDEX($R209:$R1119,MATCH($K208,$K209:$K1119,0)))))</f>
        <v/>
      </c>
      <c r="S208" s="35" t="str">
        <f t="shared" si="2"/>
        <v/>
      </c>
      <c r="T208" s="37" t="str">
        <f t="shared" si="3"/>
        <v/>
      </c>
      <c r="U208" s="38" t="str">
        <f t="shared" si="4"/>
        <v/>
      </c>
      <c r="V208" s="31" t="str">
        <f t="shared" si="5"/>
        <v/>
      </c>
      <c r="W208" s="39" t="str">
        <f>IFERROR(__xludf.DUMMYFUNCTION(" IF(Account!$F208&lt;&gt;"""", SPLIT(Account!$F208, "" ""), """")"),"")</f>
        <v/>
      </c>
      <c r="X208" s="40"/>
      <c r="Y208" s="40"/>
      <c r="Z208" s="40"/>
      <c r="AA208" s="40"/>
      <c r="AB208" s="40"/>
      <c r="AC208" s="40"/>
      <c r="AD208" s="40"/>
      <c r="AE208" s="40"/>
      <c r="AF208" s="40"/>
      <c r="AG208" s="40"/>
      <c r="AH208" s="40"/>
      <c r="AI208" s="40"/>
      <c r="AJ208" s="40"/>
      <c r="AK208" s="40"/>
    </row>
    <row r="209">
      <c r="A209" s="10"/>
      <c r="B209" s="10"/>
      <c r="C209" s="10"/>
      <c r="D209" s="10"/>
      <c r="E209" s="10"/>
      <c r="F209" s="12"/>
      <c r="G209" s="10"/>
      <c r="H209" s="10"/>
      <c r="I209" s="10"/>
      <c r="J209" s="10"/>
      <c r="K209" s="10"/>
      <c r="L209" s="12"/>
      <c r="M209" s="29" t="str">
        <f t="shared" si="1"/>
        <v/>
      </c>
      <c r="N209" s="31" t="str">
        <f>IFERROR(__xludf.DUMMYFUNCTION("IF(Account!$F209&lt;&gt;"""", VALUE(REGEXREPLACE($I209, ""\,"", ""."")), """")"),"")</f>
        <v/>
      </c>
      <c r="O209" s="33" t="str">
        <f>IF(Account!$F209&lt;&gt;"", DATEVALUE(MID($A209,4,3) &amp; LEFT($A209,3) &amp; RIGHT($A209,4)) + TIMEVALUE($B209), "")</f>
        <v/>
      </c>
      <c r="P209" s="34" t="str">
        <f>IF(Account!$F209&lt;&gt;"", DATEVALUE(MID($C209,4,3) &amp; LEFT($C209,3) &amp; RIGHT($C209,4)), "")</f>
        <v/>
      </c>
      <c r="Q209" s="35" t="str">
        <f t="array" ref="Q209">IF($R209&lt;&gt;"",IFERROR(INDEX(Investment!$A:$A,MATCH($R209,Investment!$H:$H,0))),)</f>
        <v/>
      </c>
      <c r="R209" s="36" t="str">
        <f t="array" ref="R209">IF(AND($Y209="change",$H209="EUR"),IF(AND($AA209="Crédit",$O209=$O210),$R210,IF(AND($AA209="Débit",$O209=$O208),$R208)),IF(OR(AND(OR($E209&lt;&gt;"",$M209=""),$N209&lt;&gt;0),$A209=""),IFERROR(INDEX(Investment!$H:$H,MATCH($E209,Investment!$F:$F,0))),IFERROR(INDEX($R210:$R1119,MATCH(SUBSTITUTE($I209,"-","",1),$K210:$K1119,0)),INDEX($R210:$R1119,MATCH($K209,$K210:$K1119,0)))))</f>
        <v/>
      </c>
      <c r="S209" s="35" t="str">
        <f t="shared" si="2"/>
        <v/>
      </c>
      <c r="T209" s="37" t="str">
        <f t="shared" si="3"/>
        <v/>
      </c>
      <c r="U209" s="38" t="str">
        <f t="shared" si="4"/>
        <v/>
      </c>
      <c r="V209" s="31" t="str">
        <f t="shared" si="5"/>
        <v/>
      </c>
      <c r="W209" s="39" t="str">
        <f>IFERROR(__xludf.DUMMYFUNCTION(" IF(Account!$F209&lt;&gt;"""", SPLIT(Account!$F209, "" ""), """")"),"")</f>
        <v/>
      </c>
      <c r="X209" s="40"/>
      <c r="Y209" s="40"/>
      <c r="Z209" s="40"/>
      <c r="AA209" s="40"/>
      <c r="AB209" s="40"/>
      <c r="AC209" s="40"/>
      <c r="AD209" s="40"/>
      <c r="AE209" s="40"/>
      <c r="AF209" s="40"/>
      <c r="AG209" s="40"/>
      <c r="AH209" s="40"/>
      <c r="AI209" s="40"/>
      <c r="AJ209" s="40"/>
      <c r="AK209" s="40"/>
    </row>
    <row r="210">
      <c r="A210" s="10"/>
      <c r="B210" s="10"/>
      <c r="C210" s="10"/>
      <c r="D210" s="10"/>
      <c r="E210" s="10"/>
      <c r="F210" s="12"/>
      <c r="G210" s="10"/>
      <c r="H210" s="10"/>
      <c r="I210" s="10"/>
      <c r="J210" s="10"/>
      <c r="K210" s="10"/>
      <c r="L210" s="12"/>
      <c r="M210" s="29" t="str">
        <f t="shared" si="1"/>
        <v/>
      </c>
      <c r="N210" s="31" t="str">
        <f>IFERROR(__xludf.DUMMYFUNCTION("IF(Account!$F210&lt;&gt;"""", VALUE(REGEXREPLACE($I210, ""\,"", ""."")), """")"),"")</f>
        <v/>
      </c>
      <c r="O210" s="33" t="str">
        <f>IF(Account!$F210&lt;&gt;"", DATEVALUE(MID($A210,4,3) &amp; LEFT($A210,3) &amp; RIGHT($A210,4)) + TIMEVALUE($B210), "")</f>
        <v/>
      </c>
      <c r="P210" s="34" t="str">
        <f>IF(Account!$F210&lt;&gt;"", DATEVALUE(MID($C210,4,3) &amp; LEFT($C210,3) &amp; RIGHT($C210,4)), "")</f>
        <v/>
      </c>
      <c r="Q210" s="35" t="str">
        <f t="array" ref="Q210">IF($R210&lt;&gt;"",IFERROR(INDEX(Investment!$A:$A,MATCH($R210,Investment!$H:$H,0))),)</f>
        <v/>
      </c>
      <c r="R210" s="36" t="str">
        <f t="array" ref="R210">IF(AND($Y210="change",$H210="EUR"),IF(AND($AA210="Crédit",$O210=$O211),$R211,IF(AND($AA210="Débit",$O210=$O209),$R209)),IF(OR(AND(OR($E210&lt;&gt;"",$M210=""),$N210&lt;&gt;0),$A210=""),IFERROR(INDEX(Investment!$H:$H,MATCH($E210,Investment!$F:$F,0))),IFERROR(INDEX($R211:$R1119,MATCH(SUBSTITUTE($I210,"-","",1),$K211:$K1119,0)),INDEX($R211:$R1119,MATCH($K210,$K211:$K1119,0)))))</f>
        <v/>
      </c>
      <c r="S210" s="35" t="str">
        <f t="shared" si="2"/>
        <v/>
      </c>
      <c r="T210" s="37" t="str">
        <f t="shared" si="3"/>
        <v/>
      </c>
      <c r="U210" s="38" t="str">
        <f t="shared" si="4"/>
        <v/>
      </c>
      <c r="V210" s="31" t="str">
        <f t="shared" si="5"/>
        <v/>
      </c>
      <c r="W210" s="39" t="str">
        <f>IFERROR(__xludf.DUMMYFUNCTION(" IF(Account!$F210&lt;&gt;"""", SPLIT(Account!$F210, "" ""), """")"),"")</f>
        <v/>
      </c>
      <c r="X210" s="40"/>
      <c r="Y210" s="40"/>
      <c r="Z210" s="40"/>
      <c r="AA210" s="40"/>
      <c r="AB210" s="40"/>
      <c r="AC210" s="40"/>
      <c r="AD210" s="40"/>
      <c r="AE210" s="40"/>
      <c r="AF210" s="40"/>
      <c r="AG210" s="40"/>
      <c r="AH210" s="40"/>
      <c r="AI210" s="40"/>
      <c r="AJ210" s="40"/>
      <c r="AK210" s="40"/>
    </row>
    <row r="211">
      <c r="A211" s="10"/>
      <c r="B211" s="10"/>
      <c r="C211" s="10"/>
      <c r="D211" s="10"/>
      <c r="E211" s="10"/>
      <c r="F211" s="12"/>
      <c r="G211" s="10"/>
      <c r="H211" s="10"/>
      <c r="I211" s="10"/>
      <c r="J211" s="10"/>
      <c r="K211" s="10"/>
      <c r="L211" s="12"/>
      <c r="M211" s="29" t="str">
        <f t="shared" si="1"/>
        <v/>
      </c>
      <c r="N211" s="31" t="str">
        <f>IFERROR(__xludf.DUMMYFUNCTION("IF(Account!$F211&lt;&gt;"""", VALUE(REGEXREPLACE($I211, ""\,"", ""."")), """")"),"")</f>
        <v/>
      </c>
      <c r="O211" s="33" t="str">
        <f>IF(Account!$F211&lt;&gt;"", DATEVALUE(MID($A211,4,3) &amp; LEFT($A211,3) &amp; RIGHT($A211,4)) + TIMEVALUE($B211), "")</f>
        <v/>
      </c>
      <c r="P211" s="34" t="str">
        <f>IF(Account!$F211&lt;&gt;"", DATEVALUE(MID($C211,4,3) &amp; LEFT($C211,3) &amp; RIGHT($C211,4)), "")</f>
        <v/>
      </c>
      <c r="Q211" s="35" t="str">
        <f t="array" ref="Q211">IF($R211&lt;&gt;"",IFERROR(INDEX(Investment!$A:$A,MATCH($R211,Investment!$H:$H,0))),)</f>
        <v/>
      </c>
      <c r="R211" s="36" t="str">
        <f t="array" ref="R211">IF(AND($Y211="change",$H211="EUR"),IF(AND($AA211="Crédit",$O211=$O212),$R212,IF(AND($AA211="Débit",$O211=$O210),$R210)),IF(OR(AND(OR($E211&lt;&gt;"",$M211=""),$N211&lt;&gt;0),$A211=""),IFERROR(INDEX(Investment!$H:$H,MATCH($E211,Investment!$F:$F,0))),IFERROR(INDEX($R212:$R1119,MATCH(SUBSTITUTE($I211,"-","",1),$K212:$K1119,0)),INDEX($R212:$R1119,MATCH($K211,$K212:$K1119,0)))))</f>
        <v/>
      </c>
      <c r="S211" s="35" t="str">
        <f t="shared" si="2"/>
        <v/>
      </c>
      <c r="T211" s="37" t="str">
        <f t="shared" si="3"/>
        <v/>
      </c>
      <c r="U211" s="38" t="str">
        <f t="shared" si="4"/>
        <v/>
      </c>
      <c r="V211" s="31" t="str">
        <f t="shared" si="5"/>
        <v/>
      </c>
      <c r="W211" s="39" t="str">
        <f>IFERROR(__xludf.DUMMYFUNCTION(" IF(Account!$F211&lt;&gt;"""", SPLIT(Account!$F211, "" ""), """")"),"")</f>
        <v/>
      </c>
      <c r="X211" s="40"/>
      <c r="Y211" s="40"/>
      <c r="Z211" s="40"/>
      <c r="AA211" s="40"/>
      <c r="AB211" s="40"/>
      <c r="AC211" s="40"/>
      <c r="AD211" s="40"/>
      <c r="AE211" s="40"/>
      <c r="AF211" s="40"/>
      <c r="AG211" s="40"/>
      <c r="AH211" s="40"/>
      <c r="AI211" s="40"/>
      <c r="AJ211" s="40"/>
      <c r="AK211" s="40"/>
    </row>
    <row r="212">
      <c r="A212" s="10"/>
      <c r="B212" s="10"/>
      <c r="C212" s="10"/>
      <c r="D212" s="10"/>
      <c r="E212" s="10"/>
      <c r="F212" s="12"/>
      <c r="G212" s="10"/>
      <c r="H212" s="10"/>
      <c r="I212" s="10"/>
      <c r="J212" s="10"/>
      <c r="K212" s="10"/>
      <c r="L212" s="12"/>
      <c r="M212" s="29" t="str">
        <f t="shared" si="1"/>
        <v/>
      </c>
      <c r="N212" s="31" t="str">
        <f>IFERROR(__xludf.DUMMYFUNCTION("IF(Account!$F212&lt;&gt;"""", VALUE(REGEXREPLACE($I212, ""\,"", ""."")), """")"),"")</f>
        <v/>
      </c>
      <c r="O212" s="33" t="str">
        <f>IF(Account!$F212&lt;&gt;"", DATEVALUE(MID($A212,4,3) &amp; LEFT($A212,3) &amp; RIGHT($A212,4)) + TIMEVALUE($B212), "")</f>
        <v/>
      </c>
      <c r="P212" s="34" t="str">
        <f>IF(Account!$F212&lt;&gt;"", DATEVALUE(MID($C212,4,3) &amp; LEFT($C212,3) &amp; RIGHT($C212,4)), "")</f>
        <v/>
      </c>
      <c r="Q212" s="35" t="str">
        <f t="array" ref="Q212">IF($R212&lt;&gt;"",IFERROR(INDEX(Investment!$A:$A,MATCH($R212,Investment!$H:$H,0))),)</f>
        <v/>
      </c>
      <c r="R212" s="36" t="str">
        <f t="array" ref="R212">IF(AND($Y212="change",$H212="EUR"),IF(AND($AA212="Crédit",$O212=$O213),$R213,IF(AND($AA212="Débit",$O212=$O211),$R211)),IF(OR(AND(OR($E212&lt;&gt;"",$M212=""),$N212&lt;&gt;0),$A212=""),IFERROR(INDEX(Investment!$H:$H,MATCH($E212,Investment!$F:$F,0))),IFERROR(INDEX($R213:$R1119,MATCH(SUBSTITUTE($I212,"-","",1),$K213:$K1119,0)),INDEX($R213:$R1119,MATCH($K212,$K213:$K1119,0)))))</f>
        <v/>
      </c>
      <c r="S212" s="35" t="str">
        <f t="shared" si="2"/>
        <v/>
      </c>
      <c r="T212" s="37" t="str">
        <f t="shared" si="3"/>
        <v/>
      </c>
      <c r="U212" s="38" t="str">
        <f t="shared" si="4"/>
        <v/>
      </c>
      <c r="V212" s="31" t="str">
        <f t="shared" si="5"/>
        <v/>
      </c>
      <c r="W212" s="39" t="str">
        <f>IFERROR(__xludf.DUMMYFUNCTION(" IF(Account!$F212&lt;&gt;"""", SPLIT(Account!$F212, "" ""), """")"),"")</f>
        <v/>
      </c>
      <c r="X212" s="40"/>
      <c r="Y212" s="40"/>
      <c r="Z212" s="40"/>
      <c r="AA212" s="40"/>
      <c r="AB212" s="40"/>
      <c r="AC212" s="40"/>
      <c r="AD212" s="40"/>
      <c r="AE212" s="40"/>
      <c r="AF212" s="40"/>
      <c r="AG212" s="40"/>
      <c r="AH212" s="40"/>
      <c r="AI212" s="40"/>
      <c r="AJ212" s="40"/>
      <c r="AK212" s="40"/>
    </row>
    <row r="213">
      <c r="A213" s="10"/>
      <c r="B213" s="10"/>
      <c r="C213" s="10"/>
      <c r="D213" s="10"/>
      <c r="E213" s="10"/>
      <c r="F213" s="12"/>
      <c r="G213" s="300"/>
      <c r="H213" s="10"/>
      <c r="I213" s="10"/>
      <c r="J213" s="10"/>
      <c r="K213" s="10"/>
      <c r="L213" s="12"/>
      <c r="M213" s="29" t="str">
        <f t="shared" si="1"/>
        <v/>
      </c>
      <c r="N213" s="31" t="str">
        <f>IFERROR(__xludf.DUMMYFUNCTION("IF(Account!$F213&lt;&gt;"""", VALUE(REGEXREPLACE($I213, ""\,"", ""."")), """")"),"")</f>
        <v/>
      </c>
      <c r="O213" s="33" t="str">
        <f>IF(Account!$F213&lt;&gt;"", DATEVALUE(MID($A213,4,3) &amp; LEFT($A213,3) &amp; RIGHT($A213,4)) + TIMEVALUE($B213), "")</f>
        <v/>
      </c>
      <c r="P213" s="34" t="str">
        <f>IF(Account!$F213&lt;&gt;"", DATEVALUE(MID($C213,4,3) &amp; LEFT($C213,3) &amp; RIGHT($C213,4)), "")</f>
        <v/>
      </c>
      <c r="Q213" s="35" t="str">
        <f t="array" ref="Q213">IF($R213&lt;&gt;"",IFERROR(INDEX(Investment!$A:$A,MATCH($R213,Investment!$H:$H,0))),)</f>
        <v/>
      </c>
      <c r="R213" s="36" t="str">
        <f t="array" ref="R213">IF(AND($Y213="change",$H213="EUR"),IF(AND($AA213="Crédit",$O213=$O214),$R214,IF(AND($AA213="Débit",$O213=$O212),$R212)),IF(OR(AND(OR($E213&lt;&gt;"",$M213=""),$N213&lt;&gt;0),$A213=""),IFERROR(INDEX(Investment!$H:$H,MATCH($E213,Investment!$F:$F,0))),IFERROR(INDEX($R214:$R1119,MATCH(SUBSTITUTE($I213,"-","",1),$K214:$K1119,0)),INDEX($R214:$R1119,MATCH($K213,$K214:$K1119,0)))))</f>
        <v/>
      </c>
      <c r="S213" s="35" t="str">
        <f t="shared" si="2"/>
        <v/>
      </c>
      <c r="T213" s="37" t="str">
        <f t="shared" si="3"/>
        <v/>
      </c>
      <c r="U213" s="38" t="str">
        <f t="shared" si="4"/>
        <v/>
      </c>
      <c r="V213" s="31" t="str">
        <f t="shared" si="5"/>
        <v/>
      </c>
      <c r="W213" s="39" t="str">
        <f>IFERROR(__xludf.DUMMYFUNCTION(" IF(Account!$F213&lt;&gt;"""", SPLIT(Account!$F213, "" ""), """")"),"")</f>
        <v/>
      </c>
      <c r="X213" s="40"/>
      <c r="Y213" s="40"/>
      <c r="Z213" s="40"/>
      <c r="AA213" s="40"/>
      <c r="AB213" s="40"/>
      <c r="AC213" s="40"/>
      <c r="AD213" s="40"/>
      <c r="AE213" s="40"/>
      <c r="AF213" s="40"/>
      <c r="AG213" s="40"/>
      <c r="AH213" s="40"/>
      <c r="AI213" s="40"/>
      <c r="AJ213" s="40"/>
      <c r="AK213" s="40"/>
    </row>
    <row r="214">
      <c r="A214" s="10"/>
      <c r="B214" s="10"/>
      <c r="C214" s="10"/>
      <c r="D214" s="10"/>
      <c r="E214" s="10"/>
      <c r="F214" s="12"/>
      <c r="G214" s="10"/>
      <c r="H214" s="10"/>
      <c r="I214" s="10"/>
      <c r="J214" s="10"/>
      <c r="K214" s="10"/>
      <c r="L214" s="12"/>
      <c r="M214" s="29" t="str">
        <f t="shared" si="1"/>
        <v/>
      </c>
      <c r="N214" s="31" t="str">
        <f>IFERROR(__xludf.DUMMYFUNCTION("IF(Account!$F214&lt;&gt;"""", VALUE(REGEXREPLACE($I214, ""\,"", ""."")), """")"),"")</f>
        <v/>
      </c>
      <c r="O214" s="33" t="str">
        <f>IF(Account!$F214&lt;&gt;"", DATEVALUE(MID($A214,4,3) &amp; LEFT($A214,3) &amp; RIGHT($A214,4)) + TIMEVALUE($B214), "")</f>
        <v/>
      </c>
      <c r="P214" s="34" t="str">
        <f>IF(Account!$F214&lt;&gt;"", DATEVALUE(MID($C214,4,3) &amp; LEFT($C214,3) &amp; RIGHT($C214,4)), "")</f>
        <v/>
      </c>
      <c r="Q214" s="35" t="str">
        <f t="array" ref="Q214">IF($R214&lt;&gt;"",IFERROR(INDEX(Investment!$A:$A,MATCH($R214,Investment!$H:$H,0))),)</f>
        <v/>
      </c>
      <c r="R214" s="36" t="str">
        <f t="array" ref="R214">IF(AND($Y214="change",$H214="EUR"),IF(AND($AA214="Crédit",$O214=$O215),$R215,IF(AND($AA214="Débit",$O214=$O213),$R213)),IF(OR(AND(OR($E214&lt;&gt;"",$M214=""),$N214&lt;&gt;0),$A214=""),IFERROR(INDEX(Investment!$H:$H,MATCH($E214,Investment!$F:$F,0))),IFERROR(INDEX($R215:$R1119,MATCH(SUBSTITUTE($I214,"-","",1),$K215:$K1119,0)),INDEX($R215:$R1119,MATCH($K214,$K215:$K1119,0)))))</f>
        <v/>
      </c>
      <c r="S214" s="35" t="str">
        <f t="shared" si="2"/>
        <v/>
      </c>
      <c r="T214" s="37" t="str">
        <f t="shared" si="3"/>
        <v/>
      </c>
      <c r="U214" s="38" t="str">
        <f t="shared" si="4"/>
        <v/>
      </c>
      <c r="V214" s="31" t="str">
        <f t="shared" si="5"/>
        <v/>
      </c>
      <c r="W214" s="39" t="str">
        <f>IFERROR(__xludf.DUMMYFUNCTION(" IF(Account!$F214&lt;&gt;"""", SPLIT(Account!$F214, "" ""), """")"),"")</f>
        <v/>
      </c>
      <c r="X214" s="40"/>
      <c r="Y214" s="40"/>
      <c r="Z214" s="40"/>
      <c r="AA214" s="40"/>
      <c r="AB214" s="40"/>
      <c r="AC214" s="40"/>
      <c r="AD214" s="40"/>
      <c r="AE214" s="40"/>
      <c r="AF214" s="40"/>
      <c r="AG214" s="40"/>
      <c r="AH214" s="40"/>
      <c r="AI214" s="40"/>
      <c r="AJ214" s="40"/>
      <c r="AK214" s="40"/>
    </row>
    <row r="215">
      <c r="A215" s="10"/>
      <c r="B215" s="10"/>
      <c r="C215" s="10"/>
      <c r="D215" s="10"/>
      <c r="E215" s="10"/>
      <c r="F215" s="12"/>
      <c r="G215" s="300"/>
      <c r="H215" s="10"/>
      <c r="I215" s="10"/>
      <c r="J215" s="10"/>
      <c r="K215" s="10"/>
      <c r="L215" s="12"/>
      <c r="M215" s="29" t="str">
        <f t="shared" si="1"/>
        <v/>
      </c>
      <c r="N215" s="31" t="str">
        <f>IFERROR(__xludf.DUMMYFUNCTION("IF(Account!$F215&lt;&gt;"""", VALUE(REGEXREPLACE($I215, ""\,"", ""."")), """")"),"")</f>
        <v/>
      </c>
      <c r="O215" s="33" t="str">
        <f>IF(Account!$F215&lt;&gt;"", DATEVALUE(MID($A215,4,3) &amp; LEFT($A215,3) &amp; RIGHT($A215,4)) + TIMEVALUE($B215), "")</f>
        <v/>
      </c>
      <c r="P215" s="34" t="str">
        <f>IF(Account!$F215&lt;&gt;"", DATEVALUE(MID($C215,4,3) &amp; LEFT($C215,3) &amp; RIGHT($C215,4)), "")</f>
        <v/>
      </c>
      <c r="Q215" s="35" t="str">
        <f t="array" ref="Q215">IF($R215&lt;&gt;"",IFERROR(INDEX(Investment!$A:$A,MATCH($R215,Investment!$H:$H,0))),)</f>
        <v/>
      </c>
      <c r="R215" s="36" t="str">
        <f t="array" ref="R215">IF(AND($Y215="change",$H215="EUR"),IF(AND($AA215="Crédit",$O215=$O216),$R216,IF(AND($AA215="Débit",$O215=$O214),$R214)),IF(OR(AND(OR($E215&lt;&gt;"",$M215=""),$N215&lt;&gt;0),$A215=""),IFERROR(INDEX(Investment!$H:$H,MATCH($E215,Investment!$F:$F,0))),IFERROR(INDEX($R216:$R1119,MATCH(SUBSTITUTE($I215,"-","",1),$K216:$K1119,0)),INDEX($R216:$R1119,MATCH($K215,$K216:$K1119,0)))))</f>
        <v/>
      </c>
      <c r="S215" s="35" t="str">
        <f t="shared" si="2"/>
        <v/>
      </c>
      <c r="T215" s="37" t="str">
        <f t="shared" si="3"/>
        <v/>
      </c>
      <c r="U215" s="38" t="str">
        <f t="shared" si="4"/>
        <v/>
      </c>
      <c r="V215" s="31" t="str">
        <f t="shared" si="5"/>
        <v/>
      </c>
      <c r="W215" s="39" t="str">
        <f>IFERROR(__xludf.DUMMYFUNCTION(" IF(Account!$F215&lt;&gt;"""", SPLIT(Account!$F215, "" ""), """")"),"")</f>
        <v/>
      </c>
      <c r="X215" s="40"/>
      <c r="Y215" s="40"/>
      <c r="Z215" s="40"/>
      <c r="AA215" s="40"/>
      <c r="AB215" s="40"/>
      <c r="AC215" s="40"/>
      <c r="AD215" s="40"/>
      <c r="AE215" s="40"/>
      <c r="AF215" s="40"/>
      <c r="AG215" s="40"/>
      <c r="AH215" s="40"/>
      <c r="AI215" s="40"/>
      <c r="AJ215" s="40"/>
      <c r="AK215" s="40"/>
    </row>
    <row r="216">
      <c r="A216" s="10"/>
      <c r="B216" s="10"/>
      <c r="C216" s="10"/>
      <c r="D216" s="10"/>
      <c r="E216" s="10"/>
      <c r="F216" s="12"/>
      <c r="G216" s="10"/>
      <c r="H216" s="10"/>
      <c r="I216" s="10"/>
      <c r="J216" s="10"/>
      <c r="K216" s="10"/>
      <c r="L216" s="12"/>
      <c r="M216" s="29" t="str">
        <f t="shared" si="1"/>
        <v/>
      </c>
      <c r="N216" s="31" t="str">
        <f>IFERROR(__xludf.DUMMYFUNCTION("IF(Account!$F216&lt;&gt;"""", VALUE(REGEXREPLACE($I216, ""\,"", ""."")), """")"),"")</f>
        <v/>
      </c>
      <c r="O216" s="33" t="str">
        <f>IF(Account!$F216&lt;&gt;"", DATEVALUE(MID($A216,4,3) &amp; LEFT($A216,3) &amp; RIGHT($A216,4)) + TIMEVALUE($B216), "")</f>
        <v/>
      </c>
      <c r="P216" s="34" t="str">
        <f>IF(Account!$F216&lt;&gt;"", DATEVALUE(MID($C216,4,3) &amp; LEFT($C216,3) &amp; RIGHT($C216,4)), "")</f>
        <v/>
      </c>
      <c r="Q216" s="35" t="str">
        <f t="array" ref="Q216">IF($R216&lt;&gt;"",IFERROR(INDEX(Investment!$A:$A,MATCH($R216,Investment!$H:$H,0))),)</f>
        <v/>
      </c>
      <c r="R216" s="36" t="str">
        <f t="array" ref="R216">IF(AND($Y216="change",$H216="EUR"),IF(AND($AA216="Crédit",$O216=$O217),$R217,IF(AND($AA216="Débit",$O216=$O215),$R215)),IF(OR(AND(OR($E216&lt;&gt;"",$M216=""),$N216&lt;&gt;0),$A216=""),IFERROR(INDEX(Investment!$H:$H,MATCH($E216,Investment!$F:$F,0))),IFERROR(INDEX($R217:$R1119,MATCH(SUBSTITUTE($I216,"-","",1),$K217:$K1119,0)),INDEX($R217:$R1119,MATCH($K216,$K217:$K1119,0)))))</f>
        <v/>
      </c>
      <c r="S216" s="35" t="str">
        <f t="shared" si="2"/>
        <v/>
      </c>
      <c r="T216" s="37" t="str">
        <f t="shared" si="3"/>
        <v/>
      </c>
      <c r="U216" s="38" t="str">
        <f t="shared" si="4"/>
        <v/>
      </c>
      <c r="V216" s="31" t="str">
        <f t="shared" si="5"/>
        <v/>
      </c>
      <c r="W216" s="39" t="str">
        <f>IFERROR(__xludf.DUMMYFUNCTION(" IF(Account!$F216&lt;&gt;"""", SPLIT(Account!$F216, "" ""), """")"),"")</f>
        <v/>
      </c>
      <c r="X216" s="40"/>
      <c r="Y216" s="40"/>
      <c r="Z216" s="40"/>
      <c r="AA216" s="40"/>
      <c r="AB216" s="40"/>
      <c r="AC216" s="40"/>
      <c r="AD216" s="40"/>
      <c r="AE216" s="40"/>
      <c r="AF216" s="40"/>
      <c r="AG216" s="40"/>
      <c r="AH216" s="40"/>
      <c r="AI216" s="40"/>
      <c r="AJ216" s="40"/>
      <c r="AK216" s="40"/>
    </row>
    <row r="217">
      <c r="A217" s="10"/>
      <c r="B217" s="10"/>
      <c r="C217" s="10"/>
      <c r="D217" s="10"/>
      <c r="E217" s="10"/>
      <c r="F217" s="12"/>
      <c r="G217" s="300"/>
      <c r="H217" s="10"/>
      <c r="I217" s="10"/>
      <c r="J217" s="10"/>
      <c r="K217" s="10"/>
      <c r="L217" s="12"/>
      <c r="M217" s="29" t="str">
        <f t="shared" si="1"/>
        <v/>
      </c>
      <c r="N217" s="31" t="str">
        <f>IFERROR(__xludf.DUMMYFUNCTION("IF(Account!$F217&lt;&gt;"""", VALUE(REGEXREPLACE($I217, ""\,"", ""."")), """")"),"")</f>
        <v/>
      </c>
      <c r="O217" s="33" t="str">
        <f>IF(Account!$F217&lt;&gt;"", DATEVALUE(MID($A217,4,3) &amp; LEFT($A217,3) &amp; RIGHT($A217,4)) + TIMEVALUE($B217), "")</f>
        <v/>
      </c>
      <c r="P217" s="34" t="str">
        <f>IF(Account!$F217&lt;&gt;"", DATEVALUE(MID($C217,4,3) &amp; LEFT($C217,3) &amp; RIGHT($C217,4)), "")</f>
        <v/>
      </c>
      <c r="Q217" s="35" t="str">
        <f t="array" ref="Q217">IF($R217&lt;&gt;"",IFERROR(INDEX(Investment!$A:$A,MATCH($R217,Investment!$H:$H,0))),)</f>
        <v/>
      </c>
      <c r="R217" s="36" t="str">
        <f t="array" ref="R217">IF(AND($Y217="change",$H217="EUR"),IF(AND($AA217="Crédit",$O217=$O218),$R218,IF(AND($AA217="Débit",$O217=$O216),$R216)),IF(OR(AND(OR($E217&lt;&gt;"",$M217=""),$N217&lt;&gt;0),$A217=""),IFERROR(INDEX(Investment!$H:$H,MATCH($E217,Investment!$F:$F,0))),IFERROR(INDEX($R218:$R1119,MATCH(SUBSTITUTE($I217,"-","",1),$K218:$K1119,0)),INDEX($R218:$R1119,MATCH($K217,$K218:$K1119,0)))))</f>
        <v/>
      </c>
      <c r="S217" s="35" t="str">
        <f t="shared" si="2"/>
        <v/>
      </c>
      <c r="T217" s="37" t="str">
        <f t="shared" si="3"/>
        <v/>
      </c>
      <c r="U217" s="38" t="str">
        <f t="shared" si="4"/>
        <v/>
      </c>
      <c r="V217" s="31" t="str">
        <f t="shared" si="5"/>
        <v/>
      </c>
      <c r="W217" s="39" t="str">
        <f>IFERROR(__xludf.DUMMYFUNCTION(" IF(Account!$F217&lt;&gt;"""", SPLIT(Account!$F217, "" ""), """")"),"")</f>
        <v/>
      </c>
      <c r="X217" s="40"/>
      <c r="Y217" s="40"/>
      <c r="Z217" s="40"/>
      <c r="AA217" s="40"/>
      <c r="AB217" s="40"/>
      <c r="AC217" s="40"/>
      <c r="AD217" s="40"/>
      <c r="AE217" s="40"/>
      <c r="AF217" s="40"/>
      <c r="AG217" s="40"/>
      <c r="AH217" s="40"/>
      <c r="AI217" s="40"/>
      <c r="AJ217" s="40"/>
      <c r="AK217" s="40"/>
    </row>
    <row r="218">
      <c r="A218" s="10"/>
      <c r="B218" s="10"/>
      <c r="C218" s="10"/>
      <c r="D218" s="10"/>
      <c r="E218" s="10"/>
      <c r="F218" s="12"/>
      <c r="G218" s="10"/>
      <c r="H218" s="10"/>
      <c r="I218" s="10"/>
      <c r="J218" s="10"/>
      <c r="K218" s="10"/>
      <c r="L218" s="12"/>
      <c r="M218" s="29" t="str">
        <f t="shared" si="1"/>
        <v/>
      </c>
      <c r="N218" s="31" t="str">
        <f>IFERROR(__xludf.DUMMYFUNCTION("IF(Account!$F218&lt;&gt;"""", VALUE(REGEXREPLACE($I218, ""\,"", ""."")), """")"),"")</f>
        <v/>
      </c>
      <c r="O218" s="33" t="str">
        <f>IF(Account!$F218&lt;&gt;"", DATEVALUE(MID($A218,4,3) &amp; LEFT($A218,3) &amp; RIGHT($A218,4)) + TIMEVALUE($B218), "")</f>
        <v/>
      </c>
      <c r="P218" s="34" t="str">
        <f>IF(Account!$F218&lt;&gt;"", DATEVALUE(MID($C218,4,3) &amp; LEFT($C218,3) &amp; RIGHT($C218,4)), "")</f>
        <v/>
      </c>
      <c r="Q218" s="35" t="str">
        <f t="array" ref="Q218">IF($R218&lt;&gt;"",IFERROR(INDEX(Investment!$A:$A,MATCH($R218,Investment!$H:$H,0))),)</f>
        <v/>
      </c>
      <c r="R218" s="36" t="str">
        <f t="array" ref="R218">IF(AND($Y218="change",$H218="EUR"),IF(AND($AA218="Crédit",$O218=$O219),$R219,IF(AND($AA218="Débit",$O218=$O217),$R217)),IF(OR(AND(OR($E218&lt;&gt;"",$M218=""),$N218&lt;&gt;0),$A218=""),IFERROR(INDEX(Investment!$H:$H,MATCH($E218,Investment!$F:$F,0))),IFERROR(INDEX($R219:$R1119,MATCH(SUBSTITUTE($I218,"-","",1),$K219:$K1119,0)),INDEX($R219:$R1119,MATCH($K218,$K219:$K1119,0)))))</f>
        <v/>
      </c>
      <c r="S218" s="35" t="str">
        <f t="shared" si="2"/>
        <v/>
      </c>
      <c r="T218" s="37" t="str">
        <f t="shared" si="3"/>
        <v/>
      </c>
      <c r="U218" s="38" t="str">
        <f t="shared" si="4"/>
        <v/>
      </c>
      <c r="V218" s="31" t="str">
        <f t="shared" si="5"/>
        <v/>
      </c>
      <c r="W218" s="39" t="str">
        <f>IFERROR(__xludf.DUMMYFUNCTION(" IF(Account!$F218&lt;&gt;"""", SPLIT(Account!$F218, "" ""), """")"),"")</f>
        <v/>
      </c>
      <c r="X218" s="40"/>
      <c r="Y218" s="40"/>
      <c r="Z218" s="40"/>
      <c r="AA218" s="40"/>
      <c r="AB218" s="40"/>
      <c r="AC218" s="40"/>
      <c r="AD218" s="40"/>
      <c r="AE218" s="40"/>
      <c r="AF218" s="40"/>
      <c r="AG218" s="40"/>
      <c r="AH218" s="40"/>
      <c r="AI218" s="40"/>
      <c r="AJ218" s="40"/>
      <c r="AK218" s="40"/>
    </row>
    <row r="219">
      <c r="A219" s="10"/>
      <c r="B219" s="10"/>
      <c r="C219" s="10"/>
      <c r="D219" s="10"/>
      <c r="E219" s="10"/>
      <c r="F219" s="12"/>
      <c r="G219" s="300"/>
      <c r="H219" s="10"/>
      <c r="I219" s="10"/>
      <c r="J219" s="10"/>
      <c r="K219" s="10"/>
      <c r="L219" s="12"/>
      <c r="M219" s="29" t="str">
        <f t="shared" si="1"/>
        <v/>
      </c>
      <c r="N219" s="31" t="str">
        <f>IFERROR(__xludf.DUMMYFUNCTION("IF(Account!$F219&lt;&gt;"""", VALUE(REGEXREPLACE($I219, ""\,"", ""."")), """")"),"")</f>
        <v/>
      </c>
      <c r="O219" s="33" t="str">
        <f>IF(Account!$F219&lt;&gt;"", DATEVALUE(MID($A219,4,3) &amp; LEFT($A219,3) &amp; RIGHT($A219,4)) + TIMEVALUE($B219), "")</f>
        <v/>
      </c>
      <c r="P219" s="34" t="str">
        <f>IF(Account!$F219&lt;&gt;"", DATEVALUE(MID($C219,4,3) &amp; LEFT($C219,3) &amp; RIGHT($C219,4)), "")</f>
        <v/>
      </c>
      <c r="Q219" s="35" t="str">
        <f t="array" ref="Q219">IF($R219&lt;&gt;"",IFERROR(INDEX(Investment!$A:$A,MATCH($R219,Investment!$H:$H,0))),)</f>
        <v/>
      </c>
      <c r="R219" s="36" t="str">
        <f t="array" ref="R219">IF(AND($Y219="change",$H219="EUR"),IF(AND($AA219="Crédit",$O219=$O220),$R220,IF(AND($AA219="Débit",$O219=$O218),$R218)),IF(OR(AND(OR($E219&lt;&gt;"",$M219=""),$N219&lt;&gt;0),$A219=""),IFERROR(INDEX(Investment!$H:$H,MATCH($E219,Investment!$F:$F,0))),IFERROR(INDEX($R220:$R1119,MATCH(SUBSTITUTE($I219,"-","",1),$K220:$K1119,0)),INDEX($R220:$R1119,MATCH($K219,$K220:$K1119,0)))))</f>
        <v/>
      </c>
      <c r="S219" s="35" t="str">
        <f t="shared" si="2"/>
        <v/>
      </c>
      <c r="T219" s="37" t="str">
        <f t="shared" si="3"/>
        <v/>
      </c>
      <c r="U219" s="38" t="str">
        <f t="shared" si="4"/>
        <v/>
      </c>
      <c r="V219" s="31" t="str">
        <f t="shared" si="5"/>
        <v/>
      </c>
      <c r="W219" s="39" t="str">
        <f>IFERROR(__xludf.DUMMYFUNCTION(" IF(Account!$F219&lt;&gt;"""", SPLIT(Account!$F219, "" ""), """")"),"")</f>
        <v/>
      </c>
      <c r="X219" s="40"/>
      <c r="Y219" s="40"/>
      <c r="Z219" s="40"/>
      <c r="AA219" s="40"/>
      <c r="AB219" s="40"/>
      <c r="AC219" s="40"/>
      <c r="AD219" s="40"/>
      <c r="AE219" s="40"/>
      <c r="AF219" s="40"/>
      <c r="AG219" s="40"/>
      <c r="AH219" s="40"/>
      <c r="AI219" s="40"/>
      <c r="AJ219" s="40"/>
      <c r="AK219" s="40"/>
    </row>
    <row r="220">
      <c r="A220" s="10"/>
      <c r="B220" s="10"/>
      <c r="C220" s="10"/>
      <c r="D220" s="10"/>
      <c r="E220" s="10"/>
      <c r="F220" s="12"/>
      <c r="G220" s="10"/>
      <c r="H220" s="10"/>
      <c r="I220" s="10"/>
      <c r="J220" s="10"/>
      <c r="K220" s="10"/>
      <c r="L220" s="12"/>
      <c r="M220" s="29" t="str">
        <f t="shared" si="1"/>
        <v/>
      </c>
      <c r="N220" s="31" t="str">
        <f>IFERROR(__xludf.DUMMYFUNCTION("IF(Account!$F220&lt;&gt;"""", VALUE(REGEXREPLACE($I220, ""\,"", ""."")), """")"),"")</f>
        <v/>
      </c>
      <c r="O220" s="33" t="str">
        <f>IF(Account!$F220&lt;&gt;"", DATEVALUE(MID($A220,4,3) &amp; LEFT($A220,3) &amp; RIGHT($A220,4)) + TIMEVALUE($B220), "")</f>
        <v/>
      </c>
      <c r="P220" s="34" t="str">
        <f>IF(Account!$F220&lt;&gt;"", DATEVALUE(MID($C220,4,3) &amp; LEFT($C220,3) &amp; RIGHT($C220,4)), "")</f>
        <v/>
      </c>
      <c r="Q220" s="35" t="str">
        <f t="array" ref="Q220">IF($R220&lt;&gt;"",IFERROR(INDEX(Investment!$A:$A,MATCH($R220,Investment!$H:$H,0))),)</f>
        <v/>
      </c>
      <c r="R220" s="36" t="str">
        <f t="array" ref="R220">IF(AND($Y220="change",$H220="EUR"),IF(AND($AA220="Crédit",$O220=$O221),$R221,IF(AND($AA220="Débit",$O220=$O219),$R219)),IF(OR(AND(OR($E220&lt;&gt;"",$M220=""),$N220&lt;&gt;0),$A220=""),IFERROR(INDEX(Investment!$H:$H,MATCH($E220,Investment!$F:$F,0))),IFERROR(INDEX($R221:$R1119,MATCH(SUBSTITUTE($I220,"-","",1),$K221:$K1119,0)),INDEX($R221:$R1119,MATCH($K220,$K221:$K1119,0)))))</f>
        <v/>
      </c>
      <c r="S220" s="35" t="str">
        <f t="shared" si="2"/>
        <v/>
      </c>
      <c r="T220" s="37" t="str">
        <f t="shared" si="3"/>
        <v/>
      </c>
      <c r="U220" s="38" t="str">
        <f t="shared" si="4"/>
        <v/>
      </c>
      <c r="V220" s="31" t="str">
        <f t="shared" si="5"/>
        <v/>
      </c>
      <c r="W220" s="39" t="str">
        <f>IFERROR(__xludf.DUMMYFUNCTION(" IF(Account!$F220&lt;&gt;"""", SPLIT(Account!$F220, "" ""), """")"),"")</f>
        <v/>
      </c>
      <c r="X220" s="40"/>
      <c r="Y220" s="40"/>
      <c r="Z220" s="40"/>
      <c r="AA220" s="40"/>
      <c r="AB220" s="40"/>
      <c r="AC220" s="40"/>
      <c r="AD220" s="40"/>
      <c r="AE220" s="40"/>
      <c r="AF220" s="40"/>
      <c r="AG220" s="40"/>
      <c r="AH220" s="40"/>
      <c r="AI220" s="40"/>
      <c r="AJ220" s="40"/>
      <c r="AK220" s="40"/>
    </row>
    <row r="221">
      <c r="A221" s="10"/>
      <c r="B221" s="10"/>
      <c r="C221" s="10"/>
      <c r="D221" s="10"/>
      <c r="E221" s="10"/>
      <c r="F221" s="12"/>
      <c r="G221" s="10"/>
      <c r="H221" s="10"/>
      <c r="I221" s="10"/>
      <c r="J221" s="10"/>
      <c r="K221" s="10"/>
      <c r="L221" s="12"/>
      <c r="M221" s="29" t="str">
        <f t="shared" si="1"/>
        <v/>
      </c>
      <c r="N221" s="31" t="str">
        <f>IFERROR(__xludf.DUMMYFUNCTION("IF(Account!$F221&lt;&gt;"""", VALUE(REGEXREPLACE($I221, ""\,"", ""."")), """")"),"")</f>
        <v/>
      </c>
      <c r="O221" s="33" t="str">
        <f>IF(Account!$F221&lt;&gt;"", DATEVALUE(MID($A221,4,3) &amp; LEFT($A221,3) &amp; RIGHT($A221,4)) + TIMEVALUE($B221), "")</f>
        <v/>
      </c>
      <c r="P221" s="34" t="str">
        <f>IF(Account!$F221&lt;&gt;"", DATEVALUE(MID($C221,4,3) &amp; LEFT($C221,3) &amp; RIGHT($C221,4)), "")</f>
        <v/>
      </c>
      <c r="Q221" s="35" t="str">
        <f t="array" ref="Q221">IF($R221&lt;&gt;"",IFERROR(INDEX(Investment!$A:$A,MATCH($R221,Investment!$H:$H,0))),)</f>
        <v/>
      </c>
      <c r="R221" s="36" t="str">
        <f t="array" ref="R221">IF(AND($Y221="change",$H221="EUR"),IF(AND($AA221="Crédit",$O221=$O222),$R222,IF(AND($AA221="Débit",$O221=$O220),$R220)),IF(OR(AND(OR($E221&lt;&gt;"",$M221=""),$N221&lt;&gt;0),$A221=""),IFERROR(INDEX(Investment!$H:$H,MATCH($E221,Investment!$F:$F,0))),IFERROR(INDEX($R222:$R1119,MATCH(SUBSTITUTE($I221,"-","",1),$K222:$K1119,0)),INDEX($R222:$R1119,MATCH($K221,$K222:$K1119,0)))))</f>
        <v/>
      </c>
      <c r="S221" s="35" t="str">
        <f t="shared" si="2"/>
        <v/>
      </c>
      <c r="T221" s="37" t="str">
        <f t="shared" si="3"/>
        <v/>
      </c>
      <c r="U221" s="38" t="str">
        <f t="shared" si="4"/>
        <v/>
      </c>
      <c r="V221" s="31" t="str">
        <f t="shared" si="5"/>
        <v/>
      </c>
      <c r="W221" s="39" t="str">
        <f>IFERROR(__xludf.DUMMYFUNCTION(" IF(Account!$F221&lt;&gt;"""", SPLIT(Account!$F221, "" ""), """")"),"")</f>
        <v/>
      </c>
      <c r="X221" s="40"/>
      <c r="Y221" s="40"/>
      <c r="Z221" s="40"/>
      <c r="AA221" s="40"/>
      <c r="AB221" s="40"/>
      <c r="AC221" s="40"/>
      <c r="AD221" s="40"/>
      <c r="AE221" s="40"/>
      <c r="AF221" s="40"/>
      <c r="AG221" s="40"/>
      <c r="AH221" s="40"/>
      <c r="AI221" s="40"/>
      <c r="AJ221" s="40"/>
      <c r="AK221" s="40"/>
    </row>
    <row r="222">
      <c r="A222" s="10"/>
      <c r="B222" s="10"/>
      <c r="C222" s="10"/>
      <c r="D222" s="10"/>
      <c r="E222" s="10"/>
      <c r="F222" s="12"/>
      <c r="G222" s="10"/>
      <c r="H222" s="10"/>
      <c r="I222" s="10"/>
      <c r="J222" s="10"/>
      <c r="K222" s="10"/>
      <c r="L222" s="12"/>
      <c r="M222" s="29" t="str">
        <f t="shared" si="1"/>
        <v/>
      </c>
      <c r="N222" s="31" t="str">
        <f>IFERROR(__xludf.DUMMYFUNCTION("IF(Account!$F222&lt;&gt;"""", VALUE(REGEXREPLACE($I222, ""\,"", ""."")), """")"),"")</f>
        <v/>
      </c>
      <c r="O222" s="33" t="str">
        <f>IF(Account!$F222&lt;&gt;"", DATEVALUE(MID($A222,4,3) &amp; LEFT($A222,3) &amp; RIGHT($A222,4)) + TIMEVALUE($B222), "")</f>
        <v/>
      </c>
      <c r="P222" s="34" t="str">
        <f>IF(Account!$F222&lt;&gt;"", DATEVALUE(MID($C222,4,3) &amp; LEFT($C222,3) &amp; RIGHT($C222,4)), "")</f>
        <v/>
      </c>
      <c r="Q222" s="35" t="str">
        <f t="array" ref="Q222">IF($R222&lt;&gt;"",IFERROR(INDEX(Investment!$A:$A,MATCH($R222,Investment!$H:$H,0))),)</f>
        <v/>
      </c>
      <c r="R222" s="36" t="str">
        <f t="array" ref="R222">IF(AND($Y222="change",$H222="EUR"),IF(AND($AA222="Crédit",$O222=$O223),$R223,IF(AND($AA222="Débit",$O222=$O221),$R221)),IF(OR(AND(OR($E222&lt;&gt;"",$M222=""),$N222&lt;&gt;0),$A222=""),IFERROR(INDEX(Investment!$H:$H,MATCH($E222,Investment!$F:$F,0))),IFERROR(INDEX($R223:$R1119,MATCH(SUBSTITUTE($I222,"-","",1),$K223:$K1119,0)),INDEX($R223:$R1119,MATCH($K222,$K223:$K1119,0)))))</f>
        <v/>
      </c>
      <c r="S222" s="35" t="str">
        <f t="shared" si="2"/>
        <v/>
      </c>
      <c r="T222" s="37" t="str">
        <f t="shared" si="3"/>
        <v/>
      </c>
      <c r="U222" s="38" t="str">
        <f t="shared" si="4"/>
        <v/>
      </c>
      <c r="V222" s="31" t="str">
        <f t="shared" si="5"/>
        <v/>
      </c>
      <c r="W222" s="39" t="str">
        <f>IFERROR(__xludf.DUMMYFUNCTION(" IF(Account!$F222&lt;&gt;"""", SPLIT(Account!$F222, "" ""), """")"),"")</f>
        <v/>
      </c>
      <c r="X222" s="40"/>
      <c r="Y222" s="40"/>
      <c r="Z222" s="40"/>
      <c r="AA222" s="40"/>
      <c r="AB222" s="40"/>
      <c r="AC222" s="40"/>
      <c r="AD222" s="40"/>
      <c r="AE222" s="40"/>
      <c r="AF222" s="40"/>
      <c r="AG222" s="40"/>
      <c r="AH222" s="40"/>
      <c r="AI222" s="40"/>
      <c r="AJ222" s="40"/>
      <c r="AK222" s="40"/>
    </row>
    <row r="223">
      <c r="A223" s="10"/>
      <c r="B223" s="10"/>
      <c r="C223" s="10"/>
      <c r="D223" s="10"/>
      <c r="E223" s="10"/>
      <c r="F223" s="12"/>
      <c r="G223" s="300"/>
      <c r="H223" s="10"/>
      <c r="I223" s="10"/>
      <c r="J223" s="10"/>
      <c r="K223" s="10"/>
      <c r="L223" s="12"/>
      <c r="M223" s="29" t="str">
        <f t="shared" si="1"/>
        <v/>
      </c>
      <c r="N223" s="31" t="str">
        <f>IFERROR(__xludf.DUMMYFUNCTION("IF(Account!$F223&lt;&gt;"""", VALUE(REGEXREPLACE($I223, ""\,"", ""."")), """")"),"")</f>
        <v/>
      </c>
      <c r="O223" s="33" t="str">
        <f>IF(Account!$F223&lt;&gt;"", DATEVALUE(MID($A223,4,3) &amp; LEFT($A223,3) &amp; RIGHT($A223,4)) + TIMEVALUE($B223), "")</f>
        <v/>
      </c>
      <c r="P223" s="34" t="str">
        <f>IF(Account!$F223&lt;&gt;"", DATEVALUE(MID($C223,4,3) &amp; LEFT($C223,3) &amp; RIGHT($C223,4)), "")</f>
        <v/>
      </c>
      <c r="Q223" s="35" t="str">
        <f t="array" ref="Q223">IF($R223&lt;&gt;"",IFERROR(INDEX(Investment!$A:$A,MATCH($R223,Investment!$H:$H,0))),)</f>
        <v/>
      </c>
      <c r="R223" s="36" t="str">
        <f t="array" ref="R223">IF(AND($Y223="change",$H223="EUR"),IF(AND($AA223="Crédit",$O223=$O224),$R224,IF(AND($AA223="Débit",$O223=$O222),$R222)),IF(OR(AND(OR($E223&lt;&gt;"",$M223=""),$N223&lt;&gt;0),$A223=""),IFERROR(INDEX(Investment!$H:$H,MATCH($E223,Investment!$F:$F,0))),IFERROR(INDEX($R224:$R1119,MATCH(SUBSTITUTE($I223,"-","",1),$K224:$K1119,0)),INDEX($R224:$R1119,MATCH($K223,$K224:$K1119,0)))))</f>
        <v/>
      </c>
      <c r="S223" s="35" t="str">
        <f t="shared" si="2"/>
        <v/>
      </c>
      <c r="T223" s="37" t="str">
        <f t="shared" si="3"/>
        <v/>
      </c>
      <c r="U223" s="38" t="str">
        <f t="shared" si="4"/>
        <v/>
      </c>
      <c r="V223" s="31" t="str">
        <f t="shared" si="5"/>
        <v/>
      </c>
      <c r="W223" s="39" t="str">
        <f>IFERROR(__xludf.DUMMYFUNCTION(" IF(Account!$F223&lt;&gt;"""", SPLIT(Account!$F223, "" ""), """")"),"")</f>
        <v/>
      </c>
      <c r="X223" s="40"/>
      <c r="Y223" s="40"/>
      <c r="Z223" s="40"/>
      <c r="AA223" s="40"/>
      <c r="AB223" s="40"/>
      <c r="AC223" s="40"/>
      <c r="AD223" s="40"/>
      <c r="AE223" s="40"/>
      <c r="AF223" s="40"/>
      <c r="AG223" s="40"/>
      <c r="AH223" s="40"/>
      <c r="AI223" s="40"/>
      <c r="AJ223" s="40"/>
      <c r="AK223" s="40"/>
    </row>
    <row r="224">
      <c r="A224" s="10"/>
      <c r="B224" s="10"/>
      <c r="C224" s="10"/>
      <c r="D224" s="10"/>
      <c r="E224" s="10"/>
      <c r="F224" s="12"/>
      <c r="G224" s="10"/>
      <c r="H224" s="10"/>
      <c r="I224" s="10"/>
      <c r="J224" s="10"/>
      <c r="K224" s="10"/>
      <c r="L224" s="12"/>
      <c r="M224" s="29" t="str">
        <f t="shared" si="1"/>
        <v/>
      </c>
      <c r="N224" s="31" t="str">
        <f>IFERROR(__xludf.DUMMYFUNCTION("IF(Account!$F224&lt;&gt;"""", VALUE(REGEXREPLACE($I224, ""\,"", ""."")), """")"),"")</f>
        <v/>
      </c>
      <c r="O224" s="33" t="str">
        <f>IF(Account!$F224&lt;&gt;"", DATEVALUE(MID($A224,4,3) &amp; LEFT($A224,3) &amp; RIGHT($A224,4)) + TIMEVALUE($B224), "")</f>
        <v/>
      </c>
      <c r="P224" s="34" t="str">
        <f>IF(Account!$F224&lt;&gt;"", DATEVALUE(MID($C224,4,3) &amp; LEFT($C224,3) &amp; RIGHT($C224,4)), "")</f>
        <v/>
      </c>
      <c r="Q224" s="35" t="str">
        <f t="array" ref="Q224">IF($R224&lt;&gt;"",IFERROR(INDEX(Investment!$A:$A,MATCH($R224,Investment!$H:$H,0))),)</f>
        <v/>
      </c>
      <c r="R224" s="36" t="str">
        <f t="array" ref="R224">IF(AND($Y224="change",$H224="EUR"),IF(AND($AA224="Crédit",$O224=$O225),$R225,IF(AND($AA224="Débit",$O224=$O223),$R223)),IF(OR(AND(OR($E224&lt;&gt;"",$M224=""),$N224&lt;&gt;0),$A224=""),IFERROR(INDEX(Investment!$H:$H,MATCH($E224,Investment!$F:$F,0))),IFERROR(INDEX($R225:$R1119,MATCH(SUBSTITUTE($I224,"-","",1),$K225:$K1119,0)),INDEX($R225:$R1119,MATCH($K224,$K225:$K1119,0)))))</f>
        <v/>
      </c>
      <c r="S224" s="35" t="str">
        <f t="shared" si="2"/>
        <v/>
      </c>
      <c r="T224" s="37" t="str">
        <f t="shared" si="3"/>
        <v/>
      </c>
      <c r="U224" s="38" t="str">
        <f t="shared" si="4"/>
        <v/>
      </c>
      <c r="V224" s="31" t="str">
        <f t="shared" si="5"/>
        <v/>
      </c>
      <c r="W224" s="39" t="str">
        <f>IFERROR(__xludf.DUMMYFUNCTION(" IF(Account!$F224&lt;&gt;"""", SPLIT(Account!$F224, "" ""), """")"),"")</f>
        <v/>
      </c>
      <c r="X224" s="40"/>
      <c r="Y224" s="40"/>
      <c r="Z224" s="40"/>
      <c r="AA224" s="40"/>
      <c r="AB224" s="40"/>
      <c r="AC224" s="40"/>
      <c r="AD224" s="40"/>
      <c r="AE224" s="40"/>
      <c r="AF224" s="40"/>
      <c r="AG224" s="40"/>
      <c r="AH224" s="40"/>
      <c r="AI224" s="40"/>
      <c r="AJ224" s="40"/>
      <c r="AK224" s="40"/>
    </row>
    <row r="225">
      <c r="A225" s="10"/>
      <c r="B225" s="10"/>
      <c r="C225" s="10"/>
      <c r="D225" s="10"/>
      <c r="E225" s="10"/>
      <c r="F225" s="12"/>
      <c r="G225" s="10"/>
      <c r="H225" s="10"/>
      <c r="I225" s="10"/>
      <c r="J225" s="10"/>
      <c r="K225" s="10"/>
      <c r="L225" s="12"/>
      <c r="M225" s="29" t="str">
        <f t="shared" si="1"/>
        <v/>
      </c>
      <c r="N225" s="31" t="str">
        <f>IFERROR(__xludf.DUMMYFUNCTION("IF(Account!$F225&lt;&gt;"""", VALUE(REGEXREPLACE($I225, ""\,"", ""."")), """")"),"")</f>
        <v/>
      </c>
      <c r="O225" s="33" t="str">
        <f>IF(Account!$F225&lt;&gt;"", DATEVALUE(MID($A225,4,3) &amp; LEFT($A225,3) &amp; RIGHT($A225,4)) + TIMEVALUE($B225), "")</f>
        <v/>
      </c>
      <c r="P225" s="34" t="str">
        <f>IF(Account!$F225&lt;&gt;"", DATEVALUE(MID($C225,4,3) &amp; LEFT($C225,3) &amp; RIGHT($C225,4)), "")</f>
        <v/>
      </c>
      <c r="Q225" s="35" t="str">
        <f t="array" ref="Q225">IF($R225&lt;&gt;"",IFERROR(INDEX(Investment!$A:$A,MATCH($R225,Investment!$H:$H,0))),)</f>
        <v/>
      </c>
      <c r="R225" s="36" t="str">
        <f t="array" ref="R225">IF(AND($Y225="change",$H225="EUR"),IF(AND($AA225="Crédit",$O225=$O226),$R226,IF(AND($AA225="Débit",$O225=$O224),$R224)),IF(OR(AND(OR($E225&lt;&gt;"",$M225=""),$N225&lt;&gt;0),$A225=""),IFERROR(INDEX(Investment!$H:$H,MATCH($E225,Investment!$F:$F,0))),IFERROR(INDEX($R226:$R1119,MATCH(SUBSTITUTE($I225,"-","",1),$K226:$K1119,0)),INDEX($R226:$R1119,MATCH($K225,$K226:$K1119,0)))))</f>
        <v/>
      </c>
      <c r="S225" s="35" t="str">
        <f t="shared" si="2"/>
        <v/>
      </c>
      <c r="T225" s="37" t="str">
        <f t="shared" si="3"/>
        <v/>
      </c>
      <c r="U225" s="38" t="str">
        <f t="shared" si="4"/>
        <v/>
      </c>
      <c r="V225" s="31" t="str">
        <f t="shared" si="5"/>
        <v/>
      </c>
      <c r="W225" s="39" t="str">
        <f>IFERROR(__xludf.DUMMYFUNCTION(" IF(Account!$F225&lt;&gt;"""", SPLIT(Account!$F225, "" ""), """")"),"")</f>
        <v/>
      </c>
      <c r="X225" s="40"/>
      <c r="Y225" s="40"/>
      <c r="Z225" s="40"/>
      <c r="AA225" s="40"/>
      <c r="AB225" s="40"/>
      <c r="AC225" s="40"/>
      <c r="AD225" s="40"/>
      <c r="AE225" s="40"/>
      <c r="AF225" s="40"/>
      <c r="AG225" s="40"/>
      <c r="AH225" s="40"/>
      <c r="AI225" s="40"/>
      <c r="AJ225" s="40"/>
      <c r="AK225" s="40"/>
    </row>
    <row r="226">
      <c r="A226" s="10"/>
      <c r="B226" s="10"/>
      <c r="C226" s="10"/>
      <c r="D226" s="10"/>
      <c r="E226" s="10"/>
      <c r="F226" s="12"/>
      <c r="G226" s="10"/>
      <c r="H226" s="10"/>
      <c r="I226" s="10"/>
      <c r="J226" s="10"/>
      <c r="K226" s="10"/>
      <c r="L226" s="12"/>
      <c r="M226" s="29" t="str">
        <f t="shared" si="1"/>
        <v/>
      </c>
      <c r="N226" s="31" t="str">
        <f>IFERROR(__xludf.DUMMYFUNCTION("IF(Account!$F226&lt;&gt;"""", VALUE(REGEXREPLACE($I226, ""\,"", ""."")), """")"),"")</f>
        <v/>
      </c>
      <c r="O226" s="33" t="str">
        <f>IF(Account!$F226&lt;&gt;"", DATEVALUE(MID($A226,4,3) &amp; LEFT($A226,3) &amp; RIGHT($A226,4)) + TIMEVALUE($B226), "")</f>
        <v/>
      </c>
      <c r="P226" s="34" t="str">
        <f>IF(Account!$F226&lt;&gt;"", DATEVALUE(MID($C226,4,3) &amp; LEFT($C226,3) &amp; RIGHT($C226,4)), "")</f>
        <v/>
      </c>
      <c r="Q226" s="35" t="str">
        <f t="array" ref="Q226">IF($R226&lt;&gt;"",IFERROR(INDEX(Investment!$A:$A,MATCH($R226,Investment!$H:$H,0))),)</f>
        <v/>
      </c>
      <c r="R226" s="36" t="str">
        <f t="array" ref="R226">IF(AND($Y226="change",$H226="EUR"),IF(AND($AA226="Crédit",$O226=$O227),$R227,IF(AND($AA226="Débit",$O226=$O225),$R225)),IF(OR(AND(OR($E226&lt;&gt;"",$M226=""),$N226&lt;&gt;0),$A226=""),IFERROR(INDEX(Investment!$H:$H,MATCH($E226,Investment!$F:$F,0))),IFERROR(INDEX($R227:$R1119,MATCH(SUBSTITUTE($I226,"-","",1),$K227:$K1119,0)),INDEX($R227:$R1119,MATCH($K226,$K227:$K1119,0)))))</f>
        <v/>
      </c>
      <c r="S226" s="35" t="str">
        <f t="shared" si="2"/>
        <v/>
      </c>
      <c r="T226" s="37" t="str">
        <f t="shared" si="3"/>
        <v/>
      </c>
      <c r="U226" s="38" t="str">
        <f t="shared" si="4"/>
        <v/>
      </c>
      <c r="V226" s="31" t="str">
        <f t="shared" si="5"/>
        <v/>
      </c>
      <c r="W226" s="39" t="str">
        <f>IFERROR(__xludf.DUMMYFUNCTION(" IF(Account!$F226&lt;&gt;"""", SPLIT(Account!$F226, "" ""), """")"),"")</f>
        <v/>
      </c>
      <c r="X226" s="40"/>
      <c r="Y226" s="40"/>
      <c r="Z226" s="40"/>
      <c r="AA226" s="40"/>
      <c r="AB226" s="40"/>
      <c r="AC226" s="40"/>
      <c r="AD226" s="40"/>
      <c r="AE226" s="40"/>
      <c r="AF226" s="40"/>
      <c r="AG226" s="40"/>
      <c r="AH226" s="40"/>
      <c r="AI226" s="40"/>
      <c r="AJ226" s="40"/>
      <c r="AK226" s="40"/>
    </row>
    <row r="227">
      <c r="A227" s="10"/>
      <c r="B227" s="10"/>
      <c r="C227" s="10"/>
      <c r="D227" s="10"/>
      <c r="E227" s="10"/>
      <c r="F227" s="12"/>
      <c r="G227" s="10"/>
      <c r="H227" s="10"/>
      <c r="I227" s="10"/>
      <c r="J227" s="10"/>
      <c r="K227" s="10"/>
      <c r="L227" s="12"/>
      <c r="M227" s="29" t="str">
        <f t="shared" si="1"/>
        <v/>
      </c>
      <c r="N227" s="31" t="str">
        <f>IFERROR(__xludf.DUMMYFUNCTION("IF(Account!$F227&lt;&gt;"""", VALUE(REGEXREPLACE($I227, ""\,"", ""."")), """")"),"")</f>
        <v/>
      </c>
      <c r="O227" s="33" t="str">
        <f>IF(Account!$F227&lt;&gt;"", DATEVALUE(MID($A227,4,3) &amp; LEFT($A227,3) &amp; RIGHT($A227,4)) + TIMEVALUE($B227), "")</f>
        <v/>
      </c>
      <c r="P227" s="34" t="str">
        <f>IF(Account!$F227&lt;&gt;"", DATEVALUE(MID($C227,4,3) &amp; LEFT($C227,3) &amp; RIGHT($C227,4)), "")</f>
        <v/>
      </c>
      <c r="Q227" s="35" t="str">
        <f t="array" ref="Q227">IF($R227&lt;&gt;"",IFERROR(INDEX(Investment!$A:$A,MATCH($R227,Investment!$H:$H,0))),)</f>
        <v/>
      </c>
      <c r="R227" s="36" t="str">
        <f t="array" ref="R227">IF(AND($Y227="change",$H227="EUR"),IF(AND($AA227="Crédit",$O227=$O228),$R228,IF(AND($AA227="Débit",$O227=$O226),$R226)),IF(OR(AND(OR($E227&lt;&gt;"",$M227=""),$N227&lt;&gt;0),$A227=""),IFERROR(INDEX(Investment!$H:$H,MATCH($E227,Investment!$F:$F,0))),IFERROR(INDEX($R228:$R1119,MATCH(SUBSTITUTE($I227,"-","",1),$K228:$K1119,0)),INDEX($R228:$R1119,MATCH($K227,$K228:$K1119,0)))))</f>
        <v/>
      </c>
      <c r="S227" s="35" t="str">
        <f t="shared" si="2"/>
        <v/>
      </c>
      <c r="T227" s="37" t="str">
        <f t="shared" si="3"/>
        <v/>
      </c>
      <c r="U227" s="38" t="str">
        <f t="shared" si="4"/>
        <v/>
      </c>
      <c r="V227" s="31" t="str">
        <f t="shared" si="5"/>
        <v/>
      </c>
      <c r="W227" s="39" t="str">
        <f>IFERROR(__xludf.DUMMYFUNCTION(" IF(Account!$F227&lt;&gt;"""", SPLIT(Account!$F227, "" ""), """")"),"")</f>
        <v/>
      </c>
      <c r="X227" s="40"/>
      <c r="Y227" s="40"/>
      <c r="Z227" s="40"/>
      <c r="AA227" s="40"/>
      <c r="AB227" s="40"/>
      <c r="AC227" s="40"/>
      <c r="AD227" s="40"/>
      <c r="AE227" s="40"/>
      <c r="AF227" s="40"/>
      <c r="AG227" s="40"/>
      <c r="AH227" s="40"/>
      <c r="AI227" s="40"/>
      <c r="AJ227" s="40"/>
      <c r="AK227" s="40"/>
    </row>
    <row r="228">
      <c r="A228" s="10"/>
      <c r="B228" s="10"/>
      <c r="C228" s="10"/>
      <c r="D228" s="10"/>
      <c r="E228" s="10"/>
      <c r="F228" s="12"/>
      <c r="G228" s="10"/>
      <c r="H228" s="10"/>
      <c r="I228" s="10"/>
      <c r="J228" s="10"/>
      <c r="K228" s="10"/>
      <c r="L228" s="12"/>
      <c r="M228" s="29" t="str">
        <f t="shared" si="1"/>
        <v/>
      </c>
      <c r="N228" s="31" t="str">
        <f>IFERROR(__xludf.DUMMYFUNCTION("IF(Account!$F228&lt;&gt;"""", VALUE(REGEXREPLACE($I228, ""\,"", ""."")), """")"),"")</f>
        <v/>
      </c>
      <c r="O228" s="33" t="str">
        <f>IF(Account!$F228&lt;&gt;"", DATEVALUE(MID($A228,4,3) &amp; LEFT($A228,3) &amp; RIGHT($A228,4)) + TIMEVALUE($B228), "")</f>
        <v/>
      </c>
      <c r="P228" s="34" t="str">
        <f>IF(Account!$F228&lt;&gt;"", DATEVALUE(MID($C228,4,3) &amp; LEFT($C228,3) &amp; RIGHT($C228,4)), "")</f>
        <v/>
      </c>
      <c r="Q228" s="35" t="str">
        <f t="array" ref="Q228">IF($R228&lt;&gt;"",IFERROR(INDEX(Investment!$A:$A,MATCH($R228,Investment!$H:$H,0))),)</f>
        <v/>
      </c>
      <c r="R228" s="36" t="str">
        <f t="array" ref="R228">IF(AND($Y228="change",$H228="EUR"),IF(AND($AA228="Crédit",$O228=$O229),$R229,IF(AND($AA228="Débit",$O228=$O227),$R227)),IF(OR(AND(OR($E228&lt;&gt;"",$M228=""),$N228&lt;&gt;0),$A228=""),IFERROR(INDEX(Investment!$H:$H,MATCH($E228,Investment!$F:$F,0))),IFERROR(INDEX($R229:$R1119,MATCH(SUBSTITUTE($I228,"-","",1),$K229:$K1119,0)),INDEX($R229:$R1119,MATCH($K228,$K229:$K1119,0)))))</f>
        <v/>
      </c>
      <c r="S228" s="35" t="str">
        <f t="shared" si="2"/>
        <v/>
      </c>
      <c r="T228" s="37" t="str">
        <f t="shared" si="3"/>
        <v/>
      </c>
      <c r="U228" s="38" t="str">
        <f t="shared" si="4"/>
        <v/>
      </c>
      <c r="V228" s="31" t="str">
        <f t="shared" si="5"/>
        <v/>
      </c>
      <c r="W228" s="39" t="str">
        <f>IFERROR(__xludf.DUMMYFUNCTION(" IF(Account!$F228&lt;&gt;"""", SPLIT(Account!$F228, "" ""), """")"),"")</f>
        <v/>
      </c>
      <c r="X228" s="40"/>
      <c r="Y228" s="40"/>
      <c r="Z228" s="40"/>
      <c r="AA228" s="40"/>
      <c r="AB228" s="40"/>
      <c r="AC228" s="40"/>
      <c r="AD228" s="40"/>
      <c r="AE228" s="40"/>
      <c r="AF228" s="40"/>
      <c r="AG228" s="40"/>
      <c r="AH228" s="40"/>
      <c r="AI228" s="40"/>
      <c r="AJ228" s="40"/>
      <c r="AK228" s="40"/>
    </row>
    <row r="229">
      <c r="A229" s="10"/>
      <c r="B229" s="10"/>
      <c r="C229" s="10"/>
      <c r="D229" s="10"/>
      <c r="E229" s="10"/>
      <c r="F229" s="12"/>
      <c r="G229" s="10"/>
      <c r="H229" s="10"/>
      <c r="I229" s="10"/>
      <c r="J229" s="10"/>
      <c r="K229" s="10"/>
      <c r="L229" s="12"/>
      <c r="M229" s="29" t="str">
        <f t="shared" si="1"/>
        <v/>
      </c>
      <c r="N229" s="31" t="str">
        <f>IFERROR(__xludf.DUMMYFUNCTION("IF(Account!$F229&lt;&gt;"""", VALUE(REGEXREPLACE($I229, ""\,"", ""."")), """")"),"")</f>
        <v/>
      </c>
      <c r="O229" s="33" t="str">
        <f>IF(Account!$F229&lt;&gt;"", DATEVALUE(MID($A229,4,3) &amp; LEFT($A229,3) &amp; RIGHT($A229,4)) + TIMEVALUE($B229), "")</f>
        <v/>
      </c>
      <c r="P229" s="34" t="str">
        <f>IF(Account!$F229&lt;&gt;"", DATEVALUE(MID($C229,4,3) &amp; LEFT($C229,3) &amp; RIGHT($C229,4)), "")</f>
        <v/>
      </c>
      <c r="Q229" s="35" t="str">
        <f t="array" ref="Q229">IF($R229&lt;&gt;"",IFERROR(INDEX(Investment!$A:$A,MATCH($R229,Investment!$H:$H,0))),)</f>
        <v/>
      </c>
      <c r="R229" s="36" t="str">
        <f t="array" ref="R229">IF(AND($Y229="change",$H229="EUR"),IF(AND($AA229="Crédit",$O229=$O230),$R230,IF(AND($AA229="Débit",$O229=$O228),$R228)),IF(OR(AND(OR($E229&lt;&gt;"",$M229=""),$N229&lt;&gt;0),$A229=""),IFERROR(INDEX(Investment!$H:$H,MATCH($E229,Investment!$F:$F,0))),IFERROR(INDEX($R230:$R1119,MATCH(SUBSTITUTE($I229,"-","",1),$K230:$K1119,0)),INDEX($R230:$R1119,MATCH($K229,$K230:$K1119,0)))))</f>
        <v/>
      </c>
      <c r="S229" s="35" t="str">
        <f t="shared" si="2"/>
        <v/>
      </c>
      <c r="T229" s="37" t="str">
        <f t="shared" si="3"/>
        <v/>
      </c>
      <c r="U229" s="38" t="str">
        <f t="shared" si="4"/>
        <v/>
      </c>
      <c r="V229" s="31" t="str">
        <f t="shared" si="5"/>
        <v/>
      </c>
      <c r="W229" s="39" t="str">
        <f>IFERROR(__xludf.DUMMYFUNCTION(" IF(Account!$F229&lt;&gt;"""", SPLIT(Account!$F229, "" ""), """")"),"")</f>
        <v/>
      </c>
      <c r="X229" s="40"/>
      <c r="Y229" s="40"/>
      <c r="Z229" s="40"/>
      <c r="AA229" s="40"/>
      <c r="AB229" s="40"/>
      <c r="AC229" s="40"/>
      <c r="AD229" s="40"/>
      <c r="AE229" s="40"/>
      <c r="AF229" s="40"/>
      <c r="AG229" s="40"/>
      <c r="AH229" s="40"/>
      <c r="AI229" s="40"/>
      <c r="AJ229" s="40"/>
      <c r="AK229" s="40"/>
    </row>
    <row r="230">
      <c r="A230" s="10"/>
      <c r="B230" s="10"/>
      <c r="C230" s="10"/>
      <c r="D230" s="10"/>
      <c r="E230" s="10"/>
      <c r="F230" s="12"/>
      <c r="G230" s="300"/>
      <c r="H230" s="10"/>
      <c r="I230" s="10"/>
      <c r="J230" s="10"/>
      <c r="K230" s="10"/>
      <c r="L230" s="12"/>
      <c r="M230" s="29" t="str">
        <f t="shared" si="1"/>
        <v/>
      </c>
      <c r="N230" s="31" t="str">
        <f>IFERROR(__xludf.DUMMYFUNCTION("IF(Account!$F230&lt;&gt;"""", VALUE(REGEXREPLACE($I230, ""\,"", ""."")), """")"),"")</f>
        <v/>
      </c>
      <c r="O230" s="33" t="str">
        <f>IF(Account!$F230&lt;&gt;"", DATEVALUE(MID($A230,4,3) &amp; LEFT($A230,3) &amp; RIGHT($A230,4)) + TIMEVALUE($B230), "")</f>
        <v/>
      </c>
      <c r="P230" s="34" t="str">
        <f>IF(Account!$F230&lt;&gt;"", DATEVALUE(MID($C230,4,3) &amp; LEFT($C230,3) &amp; RIGHT($C230,4)), "")</f>
        <v/>
      </c>
      <c r="Q230" s="35" t="str">
        <f t="array" ref="Q230">IF($R230&lt;&gt;"",IFERROR(INDEX(Investment!$A:$A,MATCH($R230,Investment!$H:$H,0))),)</f>
        <v/>
      </c>
      <c r="R230" s="36" t="str">
        <f t="array" ref="R230">IF(AND($Y230="change",$H230="EUR"),IF(AND($AA230="Crédit",$O230=$O231),$R231,IF(AND($AA230="Débit",$O230=$O229),$R229)),IF(OR(AND(OR($E230&lt;&gt;"",$M230=""),$N230&lt;&gt;0),$A230=""),IFERROR(INDEX(Investment!$H:$H,MATCH($E230,Investment!$F:$F,0))),IFERROR(INDEX($R231:$R1119,MATCH(SUBSTITUTE($I230,"-","",1),$K231:$K1119,0)),INDEX($R231:$R1119,MATCH($K230,$K231:$K1119,0)))))</f>
        <v/>
      </c>
      <c r="S230" s="35" t="str">
        <f t="shared" si="2"/>
        <v/>
      </c>
      <c r="T230" s="37" t="str">
        <f t="shared" si="3"/>
        <v/>
      </c>
      <c r="U230" s="38" t="str">
        <f t="shared" si="4"/>
        <v/>
      </c>
      <c r="V230" s="31" t="str">
        <f t="shared" si="5"/>
        <v/>
      </c>
      <c r="W230" s="39" t="str">
        <f>IFERROR(__xludf.DUMMYFUNCTION(" IF(Account!$F230&lt;&gt;"""", SPLIT(Account!$F230, "" ""), """")"),"")</f>
        <v/>
      </c>
      <c r="X230" s="40"/>
      <c r="Y230" s="40"/>
      <c r="Z230" s="40"/>
      <c r="AA230" s="40"/>
      <c r="AB230" s="40"/>
      <c r="AC230" s="40"/>
      <c r="AD230" s="40"/>
      <c r="AE230" s="40"/>
      <c r="AF230" s="40"/>
      <c r="AG230" s="40"/>
      <c r="AH230" s="40"/>
      <c r="AI230" s="40"/>
      <c r="AJ230" s="40"/>
      <c r="AK230" s="40"/>
    </row>
    <row r="231">
      <c r="A231" s="10"/>
      <c r="B231" s="10"/>
      <c r="C231" s="10"/>
      <c r="D231" s="10"/>
      <c r="E231" s="10"/>
      <c r="F231" s="12"/>
      <c r="G231" s="10"/>
      <c r="H231" s="10"/>
      <c r="I231" s="10"/>
      <c r="J231" s="10"/>
      <c r="K231" s="10"/>
      <c r="L231" s="12"/>
      <c r="M231" s="29" t="str">
        <f t="shared" si="1"/>
        <v/>
      </c>
      <c r="N231" s="31" t="str">
        <f>IFERROR(__xludf.DUMMYFUNCTION("IF(Account!$F231&lt;&gt;"""", VALUE(REGEXREPLACE($I231, ""\,"", ""."")), """")"),"")</f>
        <v/>
      </c>
      <c r="O231" s="33" t="str">
        <f>IF(Account!$F231&lt;&gt;"", DATEVALUE(MID($A231,4,3) &amp; LEFT($A231,3) &amp; RIGHT($A231,4)) + TIMEVALUE($B231), "")</f>
        <v/>
      </c>
      <c r="P231" s="34" t="str">
        <f>IF(Account!$F231&lt;&gt;"", DATEVALUE(MID($C231,4,3) &amp; LEFT($C231,3) &amp; RIGHT($C231,4)), "")</f>
        <v/>
      </c>
      <c r="Q231" s="35" t="str">
        <f t="array" ref="Q231">IF($R231&lt;&gt;"",IFERROR(INDEX(Investment!$A:$A,MATCH($R231,Investment!$H:$H,0))),)</f>
        <v/>
      </c>
      <c r="R231" s="36" t="str">
        <f t="array" ref="R231">IF(AND($Y231="change",$H231="EUR"),IF(AND($AA231="Crédit",$O231=$O232),$R232,IF(AND($AA231="Débit",$O231=$O230),$R230)),IF(OR(AND(OR($E231&lt;&gt;"",$M231=""),$N231&lt;&gt;0),$A231=""),IFERROR(INDEX(Investment!$H:$H,MATCH($E231,Investment!$F:$F,0))),IFERROR(INDEX($R232:$R1119,MATCH(SUBSTITUTE($I231,"-","",1),$K232:$K1119,0)),INDEX($R232:$R1119,MATCH($K231,$K232:$K1119,0)))))</f>
        <v/>
      </c>
      <c r="S231" s="35" t="str">
        <f t="shared" si="2"/>
        <v/>
      </c>
      <c r="T231" s="37" t="str">
        <f t="shared" si="3"/>
        <v/>
      </c>
      <c r="U231" s="38" t="str">
        <f t="shared" si="4"/>
        <v/>
      </c>
      <c r="V231" s="31" t="str">
        <f t="shared" si="5"/>
        <v/>
      </c>
      <c r="W231" s="39" t="str">
        <f>IFERROR(__xludf.DUMMYFUNCTION(" IF(Account!$F231&lt;&gt;"""", SPLIT(Account!$F231, "" ""), """")"),"")</f>
        <v/>
      </c>
      <c r="X231" s="40"/>
      <c r="Y231" s="40"/>
      <c r="Z231" s="40"/>
      <c r="AA231" s="40"/>
      <c r="AB231" s="40"/>
      <c r="AC231" s="40"/>
      <c r="AD231" s="40"/>
      <c r="AE231" s="40"/>
      <c r="AF231" s="40"/>
      <c r="AG231" s="40"/>
      <c r="AH231" s="40"/>
      <c r="AI231" s="40"/>
      <c r="AJ231" s="40"/>
      <c r="AK231" s="40"/>
    </row>
    <row r="232">
      <c r="A232" s="10"/>
      <c r="B232" s="10"/>
      <c r="C232" s="10"/>
      <c r="D232" s="10"/>
      <c r="E232" s="10"/>
      <c r="F232" s="12"/>
      <c r="G232" s="300"/>
      <c r="H232" s="10"/>
      <c r="I232" s="10"/>
      <c r="J232" s="10"/>
      <c r="K232" s="10"/>
      <c r="L232" s="12"/>
      <c r="M232" s="29" t="str">
        <f t="shared" si="1"/>
        <v/>
      </c>
      <c r="N232" s="31" t="str">
        <f>IFERROR(__xludf.DUMMYFUNCTION("IF(Account!$F232&lt;&gt;"""", VALUE(REGEXREPLACE($I232, ""\,"", ""."")), """")"),"")</f>
        <v/>
      </c>
      <c r="O232" s="33" t="str">
        <f>IF(Account!$F232&lt;&gt;"", DATEVALUE(MID($A232,4,3) &amp; LEFT($A232,3) &amp; RIGHT($A232,4)) + TIMEVALUE($B232), "")</f>
        <v/>
      </c>
      <c r="P232" s="34" t="str">
        <f>IF(Account!$F232&lt;&gt;"", DATEVALUE(MID($C232,4,3) &amp; LEFT($C232,3) &amp; RIGHT($C232,4)), "")</f>
        <v/>
      </c>
      <c r="Q232" s="35" t="str">
        <f t="array" ref="Q232">IF($R232&lt;&gt;"",IFERROR(INDEX(Investment!$A:$A,MATCH($R232,Investment!$H:$H,0))),)</f>
        <v/>
      </c>
      <c r="R232" s="36" t="str">
        <f t="array" ref="R232">IF(AND($Y232="change",$H232="EUR"),IF(AND($AA232="Crédit",$O232=$O233),$R233,IF(AND($AA232="Débit",$O232=$O231),$R231)),IF(OR(AND(OR($E232&lt;&gt;"",$M232=""),$N232&lt;&gt;0),$A232=""),IFERROR(INDEX(Investment!$H:$H,MATCH($E232,Investment!$F:$F,0))),IFERROR(INDEX($R233:$R1119,MATCH(SUBSTITUTE($I232,"-","",1),$K233:$K1119,0)),INDEX($R233:$R1119,MATCH($K232,$K233:$K1119,0)))))</f>
        <v/>
      </c>
      <c r="S232" s="35" t="str">
        <f t="shared" si="2"/>
        <v/>
      </c>
      <c r="T232" s="37" t="str">
        <f t="shared" si="3"/>
        <v/>
      </c>
      <c r="U232" s="38" t="str">
        <f t="shared" si="4"/>
        <v/>
      </c>
      <c r="V232" s="31" t="str">
        <f t="shared" si="5"/>
        <v/>
      </c>
      <c r="W232" s="39" t="str">
        <f>IFERROR(__xludf.DUMMYFUNCTION(" IF(Account!$F232&lt;&gt;"""", SPLIT(Account!$F232, "" ""), """")"),"")</f>
        <v/>
      </c>
      <c r="X232" s="40"/>
      <c r="Y232" s="40"/>
      <c r="Z232" s="40"/>
      <c r="AA232" s="40"/>
      <c r="AB232" s="40"/>
      <c r="AC232" s="40"/>
      <c r="AD232" s="40"/>
      <c r="AE232" s="40"/>
      <c r="AF232" s="40"/>
      <c r="AG232" s="40"/>
      <c r="AH232" s="40"/>
      <c r="AI232" s="40"/>
      <c r="AJ232" s="40"/>
      <c r="AK232" s="40"/>
    </row>
    <row r="233">
      <c r="A233" s="10"/>
      <c r="B233" s="10"/>
      <c r="C233" s="10"/>
      <c r="D233" s="10"/>
      <c r="E233" s="10"/>
      <c r="F233" s="12"/>
      <c r="G233" s="10"/>
      <c r="H233" s="10"/>
      <c r="I233" s="10"/>
      <c r="J233" s="10"/>
      <c r="K233" s="10"/>
      <c r="L233" s="12"/>
      <c r="M233" s="29" t="str">
        <f t="shared" si="1"/>
        <v/>
      </c>
      <c r="N233" s="31" t="str">
        <f>IFERROR(__xludf.DUMMYFUNCTION("IF(Account!$F233&lt;&gt;"""", VALUE(REGEXREPLACE($I233, ""\,"", ""."")), """")"),"")</f>
        <v/>
      </c>
      <c r="O233" s="33" t="str">
        <f>IF(Account!$F233&lt;&gt;"", DATEVALUE(MID($A233,4,3) &amp; LEFT($A233,3) &amp; RIGHT($A233,4)) + TIMEVALUE($B233), "")</f>
        <v/>
      </c>
      <c r="P233" s="34" t="str">
        <f>IF(Account!$F233&lt;&gt;"", DATEVALUE(MID($C233,4,3) &amp; LEFT($C233,3) &amp; RIGHT($C233,4)), "")</f>
        <v/>
      </c>
      <c r="Q233" s="35" t="str">
        <f t="array" ref="Q233">IF($R233&lt;&gt;"",IFERROR(INDEX(Investment!$A:$A,MATCH($R233,Investment!$H:$H,0))),)</f>
        <v/>
      </c>
      <c r="R233" s="36" t="str">
        <f t="array" ref="R233">IF(AND($Y233="change",$H233="EUR"),IF(AND($AA233="Crédit",$O233=$O234),$R234,IF(AND($AA233="Débit",$O233=$O232),$R232)),IF(OR(AND(OR($E233&lt;&gt;"",$M233=""),$N233&lt;&gt;0),$A233=""),IFERROR(INDEX(Investment!$H:$H,MATCH($E233,Investment!$F:$F,0))),IFERROR(INDEX($R234:$R1119,MATCH(SUBSTITUTE($I233,"-","",1),$K234:$K1119,0)),INDEX($R234:$R1119,MATCH($K233,$K234:$K1119,0)))))</f>
        <v/>
      </c>
      <c r="S233" s="35" t="str">
        <f t="shared" si="2"/>
        <v/>
      </c>
      <c r="T233" s="37" t="str">
        <f t="shared" si="3"/>
        <v/>
      </c>
      <c r="U233" s="38" t="str">
        <f t="shared" si="4"/>
        <v/>
      </c>
      <c r="V233" s="31" t="str">
        <f t="shared" si="5"/>
        <v/>
      </c>
      <c r="W233" s="39" t="str">
        <f>IFERROR(__xludf.DUMMYFUNCTION(" IF(Account!$F233&lt;&gt;"""", SPLIT(Account!$F233, "" ""), """")"),"")</f>
        <v/>
      </c>
      <c r="X233" s="40"/>
      <c r="Y233" s="40"/>
      <c r="Z233" s="40"/>
      <c r="AA233" s="40"/>
      <c r="AB233" s="40"/>
      <c r="AC233" s="40"/>
      <c r="AD233" s="40"/>
      <c r="AE233" s="40"/>
      <c r="AF233" s="40"/>
      <c r="AG233" s="40"/>
      <c r="AH233" s="40"/>
      <c r="AI233" s="40"/>
      <c r="AJ233" s="40"/>
      <c r="AK233" s="40"/>
    </row>
    <row r="234">
      <c r="A234" s="10"/>
      <c r="B234" s="10"/>
      <c r="C234" s="10"/>
      <c r="D234" s="10"/>
      <c r="E234" s="10"/>
      <c r="F234" s="12"/>
      <c r="G234" s="300"/>
      <c r="H234" s="10"/>
      <c r="I234" s="10"/>
      <c r="J234" s="10"/>
      <c r="K234" s="10"/>
      <c r="L234" s="12"/>
      <c r="M234" s="29" t="str">
        <f t="shared" si="1"/>
        <v/>
      </c>
      <c r="N234" s="31" t="str">
        <f>IFERROR(__xludf.DUMMYFUNCTION("IF(Account!$F234&lt;&gt;"""", VALUE(REGEXREPLACE($I234, ""\,"", ""."")), """")"),"")</f>
        <v/>
      </c>
      <c r="O234" s="33" t="str">
        <f>IF(Account!$F234&lt;&gt;"", DATEVALUE(MID($A234,4,3) &amp; LEFT($A234,3) &amp; RIGHT($A234,4)) + TIMEVALUE($B234), "")</f>
        <v/>
      </c>
      <c r="P234" s="34" t="str">
        <f>IF(Account!$F234&lt;&gt;"", DATEVALUE(MID($C234,4,3) &amp; LEFT($C234,3) &amp; RIGHT($C234,4)), "")</f>
        <v/>
      </c>
      <c r="Q234" s="35" t="str">
        <f t="array" ref="Q234">IF($R234&lt;&gt;"",IFERROR(INDEX(Investment!$A:$A,MATCH($R234,Investment!$H:$H,0))),)</f>
        <v/>
      </c>
      <c r="R234" s="36" t="str">
        <f t="array" ref="R234">IF(AND($Y234="change",$H234="EUR"),IF(AND($AA234="Crédit",$O234=$O235),$R235,IF(AND($AA234="Débit",$O234=$O233),$R233)),IF(OR(AND(OR($E234&lt;&gt;"",$M234=""),$N234&lt;&gt;0),$A234=""),IFERROR(INDEX(Investment!$H:$H,MATCH($E234,Investment!$F:$F,0))),IFERROR(INDEX($R235:$R1119,MATCH(SUBSTITUTE($I234,"-","",1),$K235:$K1119,0)),INDEX($R235:$R1119,MATCH($K234,$K235:$K1119,0)))))</f>
        <v/>
      </c>
      <c r="S234" s="35" t="str">
        <f t="shared" si="2"/>
        <v/>
      </c>
      <c r="T234" s="37" t="str">
        <f t="shared" si="3"/>
        <v/>
      </c>
      <c r="U234" s="38" t="str">
        <f t="shared" si="4"/>
        <v/>
      </c>
      <c r="V234" s="31" t="str">
        <f t="shared" si="5"/>
        <v/>
      </c>
      <c r="W234" s="39" t="str">
        <f>IFERROR(__xludf.DUMMYFUNCTION(" IF(Account!$F234&lt;&gt;"""", SPLIT(Account!$F234, "" ""), """")"),"")</f>
        <v/>
      </c>
      <c r="X234" s="40"/>
      <c r="Y234" s="40"/>
      <c r="Z234" s="40"/>
      <c r="AA234" s="40"/>
      <c r="AB234" s="40"/>
      <c r="AC234" s="40"/>
      <c r="AD234" s="40"/>
      <c r="AE234" s="40"/>
      <c r="AF234" s="40"/>
      <c r="AG234" s="40"/>
      <c r="AH234" s="40"/>
      <c r="AI234" s="40"/>
      <c r="AJ234" s="40"/>
      <c r="AK234" s="40"/>
    </row>
    <row r="235">
      <c r="A235" s="10"/>
      <c r="B235" s="10"/>
      <c r="C235" s="10"/>
      <c r="D235" s="10"/>
      <c r="E235" s="10"/>
      <c r="F235" s="12"/>
      <c r="G235" s="10"/>
      <c r="H235" s="10"/>
      <c r="I235" s="10"/>
      <c r="J235" s="10"/>
      <c r="K235" s="10"/>
      <c r="L235" s="12"/>
      <c r="M235" s="29" t="str">
        <f t="shared" si="1"/>
        <v/>
      </c>
      <c r="N235" s="31" t="str">
        <f>IFERROR(__xludf.DUMMYFUNCTION("IF(Account!$F235&lt;&gt;"""", VALUE(REGEXREPLACE($I235, ""\,"", ""."")), """")"),"")</f>
        <v/>
      </c>
      <c r="O235" s="33" t="str">
        <f>IF(Account!$F235&lt;&gt;"", DATEVALUE(MID($A235,4,3) &amp; LEFT($A235,3) &amp; RIGHT($A235,4)) + TIMEVALUE($B235), "")</f>
        <v/>
      </c>
      <c r="P235" s="34" t="str">
        <f>IF(Account!$F235&lt;&gt;"", DATEVALUE(MID($C235,4,3) &amp; LEFT($C235,3) &amp; RIGHT($C235,4)), "")</f>
        <v/>
      </c>
      <c r="Q235" s="35" t="str">
        <f t="array" ref="Q235">IF($R235&lt;&gt;"",IFERROR(INDEX(Investment!$A:$A,MATCH($R235,Investment!$H:$H,0))),)</f>
        <v/>
      </c>
      <c r="R235" s="36" t="str">
        <f t="array" ref="R235">IF(AND($Y235="change",$H235="EUR"),IF(AND($AA235="Crédit",$O235=$O236),$R236,IF(AND($AA235="Débit",$O235=$O234),$R234)),IF(OR(AND(OR($E235&lt;&gt;"",$M235=""),$N235&lt;&gt;0),$A235=""),IFERROR(INDEX(Investment!$H:$H,MATCH($E235,Investment!$F:$F,0))),IFERROR(INDEX($R236:$R1119,MATCH(SUBSTITUTE($I235,"-","",1),$K236:$K1119,0)),INDEX($R236:$R1119,MATCH($K235,$K236:$K1119,0)))))</f>
        <v/>
      </c>
      <c r="S235" s="35" t="str">
        <f t="shared" si="2"/>
        <v/>
      </c>
      <c r="T235" s="37" t="str">
        <f t="shared" si="3"/>
        <v/>
      </c>
      <c r="U235" s="38" t="str">
        <f t="shared" si="4"/>
        <v/>
      </c>
      <c r="V235" s="31" t="str">
        <f t="shared" si="5"/>
        <v/>
      </c>
      <c r="W235" s="39" t="str">
        <f>IFERROR(__xludf.DUMMYFUNCTION(" IF(Account!$F235&lt;&gt;"""", SPLIT(Account!$F235, "" ""), """")"),"")</f>
        <v/>
      </c>
      <c r="X235" s="40"/>
      <c r="Y235" s="40"/>
      <c r="Z235" s="40"/>
      <c r="AA235" s="40"/>
      <c r="AB235" s="40"/>
      <c r="AC235" s="40"/>
      <c r="AD235" s="40"/>
      <c r="AE235" s="40"/>
      <c r="AF235" s="40"/>
      <c r="AG235" s="40"/>
      <c r="AH235" s="40"/>
      <c r="AI235" s="40"/>
      <c r="AJ235" s="40"/>
      <c r="AK235" s="40"/>
    </row>
    <row r="236">
      <c r="A236" s="10"/>
      <c r="B236" s="10"/>
      <c r="C236" s="10"/>
      <c r="D236" s="10"/>
      <c r="E236" s="10"/>
      <c r="F236" s="12"/>
      <c r="G236" s="10"/>
      <c r="H236" s="10"/>
      <c r="I236" s="10"/>
      <c r="J236" s="10"/>
      <c r="K236" s="10"/>
      <c r="L236" s="12"/>
      <c r="M236" s="29" t="str">
        <f t="shared" si="1"/>
        <v/>
      </c>
      <c r="N236" s="31" t="str">
        <f>IFERROR(__xludf.DUMMYFUNCTION("IF(Account!$F236&lt;&gt;"""", VALUE(REGEXREPLACE($I236, ""\,"", ""."")), """")"),"")</f>
        <v/>
      </c>
      <c r="O236" s="33" t="str">
        <f>IF(Account!$F236&lt;&gt;"", DATEVALUE(MID($A236,4,3) &amp; LEFT($A236,3) &amp; RIGHT($A236,4)) + TIMEVALUE($B236), "")</f>
        <v/>
      </c>
      <c r="P236" s="34" t="str">
        <f>IF(Account!$F236&lt;&gt;"", DATEVALUE(MID($C236,4,3) &amp; LEFT($C236,3) &amp; RIGHT($C236,4)), "")</f>
        <v/>
      </c>
      <c r="Q236" s="35" t="str">
        <f t="array" ref="Q236">IF($R236&lt;&gt;"",IFERROR(INDEX(Investment!$A:$A,MATCH($R236,Investment!$H:$H,0))),)</f>
        <v/>
      </c>
      <c r="R236" s="36" t="str">
        <f t="array" ref="R236">IF(AND($Y236="change",$H236="EUR"),IF(AND($AA236="Crédit",$O236=$O237),$R237,IF(AND($AA236="Débit",$O236=$O235),$R235)),IF(OR(AND(OR($E236&lt;&gt;"",$M236=""),$N236&lt;&gt;0),$A236=""),IFERROR(INDEX(Investment!$H:$H,MATCH($E236,Investment!$F:$F,0))),IFERROR(INDEX($R237:$R1119,MATCH(SUBSTITUTE($I236,"-","",1),$K237:$K1119,0)),INDEX($R237:$R1119,MATCH($K236,$K237:$K1119,0)))))</f>
        <v/>
      </c>
      <c r="S236" s="35" t="str">
        <f t="shared" si="2"/>
        <v/>
      </c>
      <c r="T236" s="37" t="str">
        <f t="shared" si="3"/>
        <v/>
      </c>
      <c r="U236" s="38" t="str">
        <f t="shared" si="4"/>
        <v/>
      </c>
      <c r="V236" s="31" t="str">
        <f t="shared" si="5"/>
        <v/>
      </c>
      <c r="W236" s="39" t="str">
        <f>IFERROR(__xludf.DUMMYFUNCTION(" IF(Account!$F236&lt;&gt;"""", SPLIT(Account!$F236, "" ""), """")"),"")</f>
        <v/>
      </c>
      <c r="X236" s="40"/>
      <c r="Y236" s="40"/>
      <c r="Z236" s="40"/>
      <c r="AA236" s="40"/>
      <c r="AB236" s="40"/>
      <c r="AC236" s="40"/>
      <c r="AD236" s="40"/>
      <c r="AE236" s="40"/>
      <c r="AF236" s="40"/>
      <c r="AG236" s="40"/>
      <c r="AH236" s="40"/>
      <c r="AI236" s="40"/>
      <c r="AJ236" s="40"/>
      <c r="AK236" s="40"/>
    </row>
    <row r="237">
      <c r="A237" s="10"/>
      <c r="B237" s="10"/>
      <c r="C237" s="10"/>
      <c r="D237" s="10"/>
      <c r="E237" s="10"/>
      <c r="F237" s="12"/>
      <c r="G237" s="10"/>
      <c r="H237" s="10"/>
      <c r="I237" s="10"/>
      <c r="J237" s="10"/>
      <c r="K237" s="10"/>
      <c r="L237" s="12"/>
      <c r="M237" s="29" t="str">
        <f t="shared" si="1"/>
        <v/>
      </c>
      <c r="N237" s="31" t="str">
        <f>IFERROR(__xludf.DUMMYFUNCTION("IF(Account!$F237&lt;&gt;"""", VALUE(REGEXREPLACE($I237, ""\,"", ""."")), """")"),"")</f>
        <v/>
      </c>
      <c r="O237" s="33" t="str">
        <f>IF(Account!$F237&lt;&gt;"", DATEVALUE(MID($A237,4,3) &amp; LEFT($A237,3) &amp; RIGHT($A237,4)) + TIMEVALUE($B237), "")</f>
        <v/>
      </c>
      <c r="P237" s="34" t="str">
        <f>IF(Account!$F237&lt;&gt;"", DATEVALUE(MID($C237,4,3) &amp; LEFT($C237,3) &amp; RIGHT($C237,4)), "")</f>
        <v/>
      </c>
      <c r="Q237" s="35" t="str">
        <f t="array" ref="Q237">IF($R237&lt;&gt;"",IFERROR(INDEX(Investment!$A:$A,MATCH($R237,Investment!$H:$H,0))),)</f>
        <v/>
      </c>
      <c r="R237" s="36" t="str">
        <f t="array" ref="R237">IF(AND($Y237="change",$H237="EUR"),IF(AND($AA237="Crédit",$O237=$O238),$R238,IF(AND($AA237="Débit",$O237=$O236),$R236)),IF(OR(AND(OR($E237&lt;&gt;"",$M237=""),$N237&lt;&gt;0),$A237=""),IFERROR(INDEX(Investment!$H:$H,MATCH($E237,Investment!$F:$F,0))),IFERROR(INDEX($R238:$R1119,MATCH(SUBSTITUTE($I237,"-","",1),$K238:$K1119,0)),INDEX($R238:$R1119,MATCH($K237,$K238:$K1119,0)))))</f>
        <v/>
      </c>
      <c r="S237" s="35" t="str">
        <f t="shared" si="2"/>
        <v/>
      </c>
      <c r="T237" s="37" t="str">
        <f t="shared" si="3"/>
        <v/>
      </c>
      <c r="U237" s="38" t="str">
        <f t="shared" si="4"/>
        <v/>
      </c>
      <c r="V237" s="31" t="str">
        <f t="shared" si="5"/>
        <v/>
      </c>
      <c r="W237" s="39" t="str">
        <f>IFERROR(__xludf.DUMMYFUNCTION(" IF(Account!$F237&lt;&gt;"""", SPLIT(Account!$F237, "" ""), """")"),"")</f>
        <v/>
      </c>
      <c r="X237" s="40"/>
      <c r="Y237" s="40"/>
      <c r="Z237" s="40"/>
      <c r="AA237" s="40"/>
      <c r="AB237" s="40"/>
      <c r="AC237" s="40"/>
      <c r="AD237" s="40"/>
      <c r="AE237" s="40"/>
      <c r="AF237" s="40"/>
      <c r="AG237" s="40"/>
      <c r="AH237" s="40"/>
      <c r="AI237" s="40"/>
      <c r="AJ237" s="40"/>
      <c r="AK237" s="40"/>
    </row>
    <row r="238">
      <c r="A238" s="10"/>
      <c r="B238" s="10"/>
      <c r="C238" s="10"/>
      <c r="D238" s="10"/>
      <c r="E238" s="10"/>
      <c r="F238" s="12"/>
      <c r="G238" s="300"/>
      <c r="H238" s="10"/>
      <c r="I238" s="10"/>
      <c r="J238" s="10"/>
      <c r="K238" s="10"/>
      <c r="L238" s="12"/>
      <c r="M238" s="29" t="str">
        <f t="shared" si="1"/>
        <v/>
      </c>
      <c r="N238" s="31" t="str">
        <f>IFERROR(__xludf.DUMMYFUNCTION("IF(Account!$F238&lt;&gt;"""", VALUE(REGEXREPLACE($I238, ""\,"", ""."")), """")"),"")</f>
        <v/>
      </c>
      <c r="O238" s="33" t="str">
        <f>IF(Account!$F238&lt;&gt;"", DATEVALUE(MID($A238,4,3) &amp; LEFT($A238,3) &amp; RIGHT($A238,4)) + TIMEVALUE($B238), "")</f>
        <v/>
      </c>
      <c r="P238" s="34" t="str">
        <f>IF(Account!$F238&lt;&gt;"", DATEVALUE(MID($C238,4,3) &amp; LEFT($C238,3) &amp; RIGHT($C238,4)), "")</f>
        <v/>
      </c>
      <c r="Q238" s="35" t="str">
        <f t="array" ref="Q238">IF($R238&lt;&gt;"",IFERROR(INDEX(Investment!$A:$A,MATCH($R238,Investment!$H:$H,0))),)</f>
        <v/>
      </c>
      <c r="R238" s="36" t="str">
        <f t="array" ref="R238">IF(AND($Y238="change",$H238="EUR"),IF(AND($AA238="Crédit",$O238=$O239),$R239,IF(AND($AA238="Débit",$O238=$O237),$R237)),IF(OR(AND(OR($E238&lt;&gt;"",$M238=""),$N238&lt;&gt;0),$A238=""),IFERROR(INDEX(Investment!$H:$H,MATCH($E238,Investment!$F:$F,0))),IFERROR(INDEX($R239:$R1119,MATCH(SUBSTITUTE($I238,"-","",1),$K239:$K1119,0)),INDEX($R239:$R1119,MATCH($K238,$K239:$K1119,0)))))</f>
        <v/>
      </c>
      <c r="S238" s="35" t="str">
        <f t="shared" si="2"/>
        <v/>
      </c>
      <c r="T238" s="37" t="str">
        <f t="shared" si="3"/>
        <v/>
      </c>
      <c r="U238" s="38" t="str">
        <f t="shared" si="4"/>
        <v/>
      </c>
      <c r="V238" s="31" t="str">
        <f t="shared" si="5"/>
        <v/>
      </c>
      <c r="W238" s="39" t="str">
        <f>IFERROR(__xludf.DUMMYFUNCTION(" IF(Account!$F238&lt;&gt;"""", SPLIT(Account!$F238, "" ""), """")"),"")</f>
        <v/>
      </c>
      <c r="X238" s="40"/>
      <c r="Y238" s="40"/>
      <c r="Z238" s="40"/>
      <c r="AA238" s="40"/>
      <c r="AB238" s="40"/>
      <c r="AC238" s="40"/>
      <c r="AD238" s="40"/>
      <c r="AE238" s="40"/>
      <c r="AF238" s="40"/>
      <c r="AG238" s="40"/>
      <c r="AH238" s="40"/>
      <c r="AI238" s="40"/>
      <c r="AJ238" s="40"/>
      <c r="AK238" s="40"/>
    </row>
    <row r="239">
      <c r="A239" s="10"/>
      <c r="B239" s="10"/>
      <c r="C239" s="10"/>
      <c r="D239" s="10"/>
      <c r="E239" s="10"/>
      <c r="F239" s="12"/>
      <c r="G239" s="10"/>
      <c r="H239" s="10"/>
      <c r="I239" s="10"/>
      <c r="J239" s="10"/>
      <c r="K239" s="10"/>
      <c r="L239" s="12"/>
      <c r="M239" s="29" t="str">
        <f t="shared" si="1"/>
        <v/>
      </c>
      <c r="N239" s="31" t="str">
        <f>IFERROR(__xludf.DUMMYFUNCTION("IF(Account!$F239&lt;&gt;"""", VALUE(REGEXREPLACE($I239, ""\,"", ""."")), """")"),"")</f>
        <v/>
      </c>
      <c r="O239" s="33" t="str">
        <f>IF(Account!$F239&lt;&gt;"", DATEVALUE(MID($A239,4,3) &amp; LEFT($A239,3) &amp; RIGHT($A239,4)) + TIMEVALUE($B239), "")</f>
        <v/>
      </c>
      <c r="P239" s="34" t="str">
        <f>IF(Account!$F239&lt;&gt;"", DATEVALUE(MID($C239,4,3) &amp; LEFT($C239,3) &amp; RIGHT($C239,4)), "")</f>
        <v/>
      </c>
      <c r="Q239" s="35" t="str">
        <f t="array" ref="Q239">IF($R239&lt;&gt;"",IFERROR(INDEX(Investment!$A:$A,MATCH($R239,Investment!$H:$H,0))),)</f>
        <v/>
      </c>
      <c r="R239" s="36" t="str">
        <f t="array" ref="R239">IF(AND($Y239="change",$H239="EUR"),IF(AND($AA239="Crédit",$O239=$O240),$R240,IF(AND($AA239="Débit",$O239=$O238),$R238)),IF(OR(AND(OR($E239&lt;&gt;"",$M239=""),$N239&lt;&gt;0),$A239=""),IFERROR(INDEX(Investment!$H:$H,MATCH($E239,Investment!$F:$F,0))),IFERROR(INDEX($R240:$R1119,MATCH(SUBSTITUTE($I239,"-","",1),$K240:$K1119,0)),INDEX($R240:$R1119,MATCH($K239,$K240:$K1119,0)))))</f>
        <v/>
      </c>
      <c r="S239" s="35" t="str">
        <f t="shared" si="2"/>
        <v/>
      </c>
      <c r="T239" s="37" t="str">
        <f t="shared" si="3"/>
        <v/>
      </c>
      <c r="U239" s="38" t="str">
        <f t="shared" si="4"/>
        <v/>
      </c>
      <c r="V239" s="31" t="str">
        <f t="shared" si="5"/>
        <v/>
      </c>
      <c r="W239" s="39" t="str">
        <f>IFERROR(__xludf.DUMMYFUNCTION(" IF(Account!$F239&lt;&gt;"""", SPLIT(Account!$F239, "" ""), """")"),"")</f>
        <v/>
      </c>
      <c r="X239" s="40"/>
      <c r="Y239" s="40"/>
      <c r="Z239" s="40"/>
      <c r="AA239" s="40"/>
      <c r="AB239" s="40"/>
      <c r="AC239" s="40"/>
      <c r="AD239" s="40"/>
      <c r="AE239" s="40"/>
      <c r="AF239" s="40"/>
      <c r="AG239" s="40"/>
      <c r="AH239" s="40"/>
      <c r="AI239" s="40"/>
      <c r="AJ239" s="40"/>
      <c r="AK239" s="40"/>
    </row>
    <row r="240">
      <c r="A240" s="10"/>
      <c r="B240" s="10"/>
      <c r="C240" s="10"/>
      <c r="D240" s="10"/>
      <c r="E240" s="10"/>
      <c r="F240" s="12"/>
      <c r="G240" s="300"/>
      <c r="H240" s="10"/>
      <c r="I240" s="10"/>
      <c r="J240" s="10"/>
      <c r="K240" s="10"/>
      <c r="L240" s="12"/>
      <c r="M240" s="29" t="str">
        <f t="shared" si="1"/>
        <v/>
      </c>
      <c r="N240" s="31" t="str">
        <f>IFERROR(__xludf.DUMMYFUNCTION("IF(Account!$F240&lt;&gt;"""", VALUE(REGEXREPLACE($I240, ""\,"", ""."")), """")"),"")</f>
        <v/>
      </c>
      <c r="O240" s="33" t="str">
        <f>IF(Account!$F240&lt;&gt;"", DATEVALUE(MID($A240,4,3) &amp; LEFT($A240,3) &amp; RIGHT($A240,4)) + TIMEVALUE($B240), "")</f>
        <v/>
      </c>
      <c r="P240" s="34" t="str">
        <f>IF(Account!$F240&lt;&gt;"", DATEVALUE(MID($C240,4,3) &amp; LEFT($C240,3) &amp; RIGHT($C240,4)), "")</f>
        <v/>
      </c>
      <c r="Q240" s="35" t="str">
        <f t="array" ref="Q240">IF($R240&lt;&gt;"",IFERROR(INDEX(Investment!$A:$A,MATCH($R240,Investment!$H:$H,0))),)</f>
        <v/>
      </c>
      <c r="R240" s="36" t="str">
        <f t="array" ref="R240">IF(AND($Y240="change",$H240="EUR"),IF(AND($AA240="Crédit",$O240=$O241),$R241,IF(AND($AA240="Débit",$O240=$O239),$R239)),IF(OR(AND(OR($E240&lt;&gt;"",$M240=""),$N240&lt;&gt;0),$A240=""),IFERROR(INDEX(Investment!$H:$H,MATCH($E240,Investment!$F:$F,0))),IFERROR(INDEX($R241:$R1119,MATCH(SUBSTITUTE($I240,"-","",1),$K241:$K1119,0)),INDEX($R241:$R1119,MATCH($K240,$K241:$K1119,0)))))</f>
        <v/>
      </c>
      <c r="S240" s="35" t="str">
        <f t="shared" si="2"/>
        <v/>
      </c>
      <c r="T240" s="37" t="str">
        <f t="shared" si="3"/>
        <v/>
      </c>
      <c r="U240" s="38" t="str">
        <f t="shared" si="4"/>
        <v/>
      </c>
      <c r="V240" s="31" t="str">
        <f t="shared" si="5"/>
        <v/>
      </c>
      <c r="W240" s="39" t="str">
        <f>IFERROR(__xludf.DUMMYFUNCTION(" IF(Account!$F240&lt;&gt;"""", SPLIT(Account!$F240, "" ""), """")"),"")</f>
        <v/>
      </c>
      <c r="X240" s="40"/>
      <c r="Y240" s="40"/>
      <c r="Z240" s="40"/>
      <c r="AA240" s="40"/>
      <c r="AB240" s="40"/>
      <c r="AC240" s="40"/>
      <c r="AD240" s="40"/>
      <c r="AE240" s="40"/>
      <c r="AF240" s="40"/>
      <c r="AG240" s="40"/>
      <c r="AH240" s="40"/>
      <c r="AI240" s="40"/>
      <c r="AJ240" s="40"/>
      <c r="AK240" s="40"/>
    </row>
    <row r="241">
      <c r="A241" s="10"/>
      <c r="B241" s="10"/>
      <c r="C241" s="10"/>
      <c r="D241" s="10"/>
      <c r="E241" s="10"/>
      <c r="F241" s="12"/>
      <c r="G241" s="10"/>
      <c r="H241" s="10"/>
      <c r="I241" s="10"/>
      <c r="J241" s="10"/>
      <c r="K241" s="10"/>
      <c r="L241" s="12"/>
      <c r="M241" s="29" t="str">
        <f t="shared" si="1"/>
        <v/>
      </c>
      <c r="N241" s="31" t="str">
        <f>IFERROR(__xludf.DUMMYFUNCTION("IF(Account!$F241&lt;&gt;"""", VALUE(REGEXREPLACE($I241, ""\,"", ""."")), """")"),"")</f>
        <v/>
      </c>
      <c r="O241" s="33" t="str">
        <f>IF(Account!$F241&lt;&gt;"", DATEVALUE(MID($A241,4,3) &amp; LEFT($A241,3) &amp; RIGHT($A241,4)) + TIMEVALUE($B241), "")</f>
        <v/>
      </c>
      <c r="P241" s="34" t="str">
        <f>IF(Account!$F241&lt;&gt;"", DATEVALUE(MID($C241,4,3) &amp; LEFT($C241,3) &amp; RIGHT($C241,4)), "")</f>
        <v/>
      </c>
      <c r="Q241" s="35" t="str">
        <f t="array" ref="Q241">IF($R241&lt;&gt;"",IFERROR(INDEX(Investment!$A:$A,MATCH($R241,Investment!$H:$H,0))),)</f>
        <v/>
      </c>
      <c r="R241" s="36" t="str">
        <f t="array" ref="R241">IF(AND($Y241="change",$H241="EUR"),IF(AND($AA241="Crédit",$O241=$O242),$R242,IF(AND($AA241="Débit",$O241=$O240),$R240)),IF(OR(AND(OR($E241&lt;&gt;"",$M241=""),$N241&lt;&gt;0),$A241=""),IFERROR(INDEX(Investment!$H:$H,MATCH($E241,Investment!$F:$F,0))),IFERROR(INDEX($R242:$R1119,MATCH(SUBSTITUTE($I241,"-","",1),$K242:$K1119,0)),INDEX($R242:$R1119,MATCH($K241,$K242:$K1119,0)))))</f>
        <v/>
      </c>
      <c r="S241" s="35" t="str">
        <f t="shared" si="2"/>
        <v/>
      </c>
      <c r="T241" s="37" t="str">
        <f t="shared" si="3"/>
        <v/>
      </c>
      <c r="U241" s="38" t="str">
        <f t="shared" si="4"/>
        <v/>
      </c>
      <c r="V241" s="31" t="str">
        <f t="shared" si="5"/>
        <v/>
      </c>
      <c r="W241" s="39" t="str">
        <f>IFERROR(__xludf.DUMMYFUNCTION(" IF(Account!$F241&lt;&gt;"""", SPLIT(Account!$F241, "" ""), """")"),"")</f>
        <v/>
      </c>
      <c r="X241" s="40"/>
      <c r="Y241" s="40"/>
      <c r="Z241" s="40"/>
      <c r="AA241" s="40"/>
      <c r="AB241" s="40"/>
      <c r="AC241" s="40"/>
      <c r="AD241" s="40"/>
      <c r="AE241" s="40"/>
      <c r="AF241" s="40"/>
      <c r="AG241" s="40"/>
      <c r="AH241" s="40"/>
      <c r="AI241" s="40"/>
      <c r="AJ241" s="40"/>
      <c r="AK241" s="40"/>
    </row>
    <row r="242">
      <c r="A242" s="10"/>
      <c r="B242" s="10"/>
      <c r="C242" s="10"/>
      <c r="D242" s="10"/>
      <c r="E242" s="10"/>
      <c r="F242" s="12"/>
      <c r="G242" s="10"/>
      <c r="H242" s="10"/>
      <c r="I242" s="10"/>
      <c r="J242" s="10"/>
      <c r="K242" s="10"/>
      <c r="L242" s="12"/>
      <c r="M242" s="29" t="str">
        <f t="shared" si="1"/>
        <v/>
      </c>
      <c r="N242" s="31" t="str">
        <f>IFERROR(__xludf.DUMMYFUNCTION("IF(Account!$F242&lt;&gt;"""", VALUE(REGEXREPLACE($I242, ""\,"", ""."")), """")"),"")</f>
        <v/>
      </c>
      <c r="O242" s="33" t="str">
        <f>IF(Account!$F242&lt;&gt;"", DATEVALUE(MID($A242,4,3) &amp; LEFT($A242,3) &amp; RIGHT($A242,4)) + TIMEVALUE($B242), "")</f>
        <v/>
      </c>
      <c r="P242" s="34" t="str">
        <f>IF(Account!$F242&lt;&gt;"", DATEVALUE(MID($C242,4,3) &amp; LEFT($C242,3) &amp; RIGHT($C242,4)), "")</f>
        <v/>
      </c>
      <c r="Q242" s="35" t="str">
        <f t="array" ref="Q242">IF($R242&lt;&gt;"",IFERROR(INDEX(Investment!$A:$A,MATCH($R242,Investment!$H:$H,0))),)</f>
        <v/>
      </c>
      <c r="R242" s="36" t="str">
        <f t="array" ref="R242">IF(AND($Y242="change",$H242="EUR"),IF(AND($AA242="Crédit",$O242=$O243),$R243,IF(AND($AA242="Débit",$O242=$O241),$R241)),IF(OR(AND(OR($E242&lt;&gt;"",$M242=""),$N242&lt;&gt;0),$A242=""),IFERROR(INDEX(Investment!$H:$H,MATCH($E242,Investment!$F:$F,0))),IFERROR(INDEX($R243:$R1119,MATCH(SUBSTITUTE($I242,"-","",1),$K243:$K1119,0)),INDEX($R243:$R1119,MATCH($K242,$K243:$K1119,0)))))</f>
        <v/>
      </c>
      <c r="S242" s="35" t="str">
        <f t="shared" si="2"/>
        <v/>
      </c>
      <c r="T242" s="37" t="str">
        <f t="shared" si="3"/>
        <v/>
      </c>
      <c r="U242" s="38" t="str">
        <f t="shared" si="4"/>
        <v/>
      </c>
      <c r="V242" s="31" t="str">
        <f t="shared" si="5"/>
        <v/>
      </c>
      <c r="W242" s="39" t="str">
        <f>IFERROR(__xludf.DUMMYFUNCTION(" IF(Account!$F242&lt;&gt;"""", SPLIT(Account!$F242, "" ""), """")"),"")</f>
        <v/>
      </c>
      <c r="X242" s="40"/>
      <c r="Y242" s="40"/>
      <c r="Z242" s="40"/>
      <c r="AA242" s="40"/>
      <c r="AB242" s="40"/>
      <c r="AC242" s="40"/>
      <c r="AD242" s="40"/>
      <c r="AE242" s="40"/>
      <c r="AF242" s="40"/>
      <c r="AG242" s="40"/>
      <c r="AH242" s="40"/>
      <c r="AI242" s="40"/>
      <c r="AJ242" s="40"/>
      <c r="AK242" s="40"/>
    </row>
    <row r="243">
      <c r="A243" s="10"/>
      <c r="B243" s="10"/>
      <c r="C243" s="10"/>
      <c r="D243" s="10"/>
      <c r="E243" s="10"/>
      <c r="F243" s="12"/>
      <c r="G243" s="10"/>
      <c r="H243" s="10"/>
      <c r="I243" s="10"/>
      <c r="J243" s="10"/>
      <c r="K243" s="10"/>
      <c r="L243" s="12"/>
      <c r="M243" s="29" t="str">
        <f t="shared" si="1"/>
        <v/>
      </c>
      <c r="N243" s="31" t="str">
        <f>IFERROR(__xludf.DUMMYFUNCTION("IF(Account!$F243&lt;&gt;"""", VALUE(REGEXREPLACE($I243, ""\,"", ""."")), """")"),"")</f>
        <v/>
      </c>
      <c r="O243" s="33" t="str">
        <f>IF(Account!$F243&lt;&gt;"", DATEVALUE(MID($A243,4,3) &amp; LEFT($A243,3) &amp; RIGHT($A243,4)) + TIMEVALUE($B243), "")</f>
        <v/>
      </c>
      <c r="P243" s="34" t="str">
        <f>IF(Account!$F243&lt;&gt;"", DATEVALUE(MID($C243,4,3) &amp; LEFT($C243,3) &amp; RIGHT($C243,4)), "")</f>
        <v/>
      </c>
      <c r="Q243" s="35" t="str">
        <f t="array" ref="Q243">IF($R243&lt;&gt;"",IFERROR(INDEX(Investment!$A:$A,MATCH($R243,Investment!$H:$H,0))),)</f>
        <v/>
      </c>
      <c r="R243" s="36" t="str">
        <f t="array" ref="R243">IF(AND($Y243="change",$H243="EUR"),IF(AND($AA243="Crédit",$O243=$O244),$R244,IF(AND($AA243="Débit",$O243=$O242),$R242)),IF(OR(AND(OR($E243&lt;&gt;"",$M243=""),$N243&lt;&gt;0),$A243=""),IFERROR(INDEX(Investment!$H:$H,MATCH($E243,Investment!$F:$F,0))),IFERROR(INDEX($R244:$R1119,MATCH(SUBSTITUTE($I243,"-","",1),$K244:$K1119,0)),INDEX($R244:$R1119,MATCH($K243,$K244:$K1119,0)))))</f>
        <v/>
      </c>
      <c r="S243" s="35" t="str">
        <f t="shared" si="2"/>
        <v/>
      </c>
      <c r="T243" s="37" t="str">
        <f t="shared" si="3"/>
        <v/>
      </c>
      <c r="U243" s="38" t="str">
        <f t="shared" si="4"/>
        <v/>
      </c>
      <c r="V243" s="31" t="str">
        <f t="shared" si="5"/>
        <v/>
      </c>
      <c r="W243" s="39" t="str">
        <f>IFERROR(__xludf.DUMMYFUNCTION(" IF(Account!$F243&lt;&gt;"""", SPLIT(Account!$F243, "" ""), """")"),"")</f>
        <v/>
      </c>
      <c r="X243" s="40"/>
      <c r="Y243" s="40"/>
      <c r="Z243" s="40"/>
      <c r="AA243" s="40"/>
      <c r="AB243" s="40"/>
      <c r="AC243" s="40"/>
      <c r="AD243" s="40"/>
      <c r="AE243" s="40"/>
      <c r="AF243" s="40"/>
      <c r="AG243" s="40"/>
      <c r="AH243" s="40"/>
      <c r="AI243" s="40"/>
      <c r="AJ243" s="40"/>
      <c r="AK243" s="40"/>
    </row>
    <row r="244">
      <c r="A244" s="10"/>
      <c r="B244" s="10"/>
      <c r="C244" s="10"/>
      <c r="D244" s="10"/>
      <c r="E244" s="10"/>
      <c r="F244" s="12"/>
      <c r="G244" s="300"/>
      <c r="H244" s="10"/>
      <c r="I244" s="10"/>
      <c r="J244" s="10"/>
      <c r="K244" s="10"/>
      <c r="L244" s="12"/>
      <c r="M244" s="29" t="str">
        <f t="shared" si="1"/>
        <v/>
      </c>
      <c r="N244" s="31" t="str">
        <f>IFERROR(__xludf.DUMMYFUNCTION("IF(Account!$F244&lt;&gt;"""", VALUE(REGEXREPLACE($I244, ""\,"", ""."")), """")"),"")</f>
        <v/>
      </c>
      <c r="O244" s="33" t="str">
        <f>IF(Account!$F244&lt;&gt;"", DATEVALUE(MID($A244,4,3) &amp; LEFT($A244,3) &amp; RIGHT($A244,4)) + TIMEVALUE($B244), "")</f>
        <v/>
      </c>
      <c r="P244" s="34" t="str">
        <f>IF(Account!$F244&lt;&gt;"", DATEVALUE(MID($C244,4,3) &amp; LEFT($C244,3) &amp; RIGHT($C244,4)), "")</f>
        <v/>
      </c>
      <c r="Q244" s="35" t="str">
        <f t="array" ref="Q244">IF($R244&lt;&gt;"",IFERROR(INDEX(Investment!$A:$A,MATCH($R244,Investment!$H:$H,0))),)</f>
        <v/>
      </c>
      <c r="R244" s="36" t="str">
        <f t="array" ref="R244">IF(AND($Y244="change",$H244="EUR"),IF(AND($AA244="Crédit",$O244=$O245),$R245,IF(AND($AA244="Débit",$O244=$O243),$R243)),IF(OR(AND(OR($E244&lt;&gt;"",$M244=""),$N244&lt;&gt;0),$A244=""),IFERROR(INDEX(Investment!$H:$H,MATCH($E244,Investment!$F:$F,0))),IFERROR(INDEX($R245:$R1119,MATCH(SUBSTITUTE($I244,"-","",1),$K245:$K1119,0)),INDEX($R245:$R1119,MATCH($K244,$K245:$K1119,0)))))</f>
        <v/>
      </c>
      <c r="S244" s="35" t="str">
        <f t="shared" si="2"/>
        <v/>
      </c>
      <c r="T244" s="37" t="str">
        <f t="shared" si="3"/>
        <v/>
      </c>
      <c r="U244" s="38" t="str">
        <f t="shared" si="4"/>
        <v/>
      </c>
      <c r="V244" s="31" t="str">
        <f t="shared" si="5"/>
        <v/>
      </c>
      <c r="W244" s="39" t="str">
        <f>IFERROR(__xludf.DUMMYFUNCTION(" IF(Account!$F244&lt;&gt;"""", SPLIT(Account!$F244, "" ""), """")"),"")</f>
        <v/>
      </c>
      <c r="X244" s="40"/>
      <c r="Y244" s="40"/>
      <c r="Z244" s="40"/>
      <c r="AA244" s="40"/>
      <c r="AB244" s="40"/>
      <c r="AC244" s="40"/>
      <c r="AD244" s="40"/>
      <c r="AE244" s="40"/>
      <c r="AF244" s="40"/>
      <c r="AG244" s="40"/>
      <c r="AH244" s="40"/>
      <c r="AI244" s="40"/>
      <c r="AJ244" s="40"/>
      <c r="AK244" s="40"/>
    </row>
    <row r="245">
      <c r="A245" s="10"/>
      <c r="B245" s="10"/>
      <c r="C245" s="10"/>
      <c r="D245" s="10"/>
      <c r="E245" s="10"/>
      <c r="F245" s="12"/>
      <c r="G245" s="10"/>
      <c r="H245" s="10"/>
      <c r="I245" s="10"/>
      <c r="J245" s="10"/>
      <c r="K245" s="10"/>
      <c r="L245" s="12"/>
      <c r="M245" s="29" t="str">
        <f t="shared" si="1"/>
        <v/>
      </c>
      <c r="N245" s="31" t="str">
        <f>IFERROR(__xludf.DUMMYFUNCTION("IF(Account!$F245&lt;&gt;"""", VALUE(REGEXREPLACE($I245, ""\,"", ""."")), """")"),"")</f>
        <v/>
      </c>
      <c r="O245" s="33" t="str">
        <f>IF(Account!$F245&lt;&gt;"", DATEVALUE(MID($A245,4,3) &amp; LEFT($A245,3) &amp; RIGHT($A245,4)) + TIMEVALUE($B245), "")</f>
        <v/>
      </c>
      <c r="P245" s="34" t="str">
        <f>IF(Account!$F245&lt;&gt;"", DATEVALUE(MID($C245,4,3) &amp; LEFT($C245,3) &amp; RIGHT($C245,4)), "")</f>
        <v/>
      </c>
      <c r="Q245" s="35" t="str">
        <f t="array" ref="Q245">IF($R245&lt;&gt;"",IFERROR(INDEX(Investment!$A:$A,MATCH($R245,Investment!$H:$H,0))),)</f>
        <v/>
      </c>
      <c r="R245" s="36" t="str">
        <f t="array" ref="R245">IF(AND($Y245="change",$H245="EUR"),IF(AND($AA245="Crédit",$O245=$O246),$R246,IF(AND($AA245="Débit",$O245=$O244),$R244)),IF(OR(AND(OR($E245&lt;&gt;"",$M245=""),$N245&lt;&gt;0),$A245=""),IFERROR(INDEX(Investment!$H:$H,MATCH($E245,Investment!$F:$F,0))),IFERROR(INDEX($R246:$R1119,MATCH(SUBSTITUTE($I245,"-","",1),$K246:$K1119,0)),INDEX($R246:$R1119,MATCH($K245,$K246:$K1119,0)))))</f>
        <v/>
      </c>
      <c r="S245" s="35" t="str">
        <f t="shared" si="2"/>
        <v/>
      </c>
      <c r="T245" s="37" t="str">
        <f t="shared" si="3"/>
        <v/>
      </c>
      <c r="U245" s="38" t="str">
        <f t="shared" si="4"/>
        <v/>
      </c>
      <c r="V245" s="31" t="str">
        <f t="shared" si="5"/>
        <v/>
      </c>
      <c r="W245" s="39" t="str">
        <f>IFERROR(__xludf.DUMMYFUNCTION(" IF(Account!$F245&lt;&gt;"""", SPLIT(Account!$F245, "" ""), """")"),"")</f>
        <v/>
      </c>
      <c r="X245" s="40"/>
      <c r="Y245" s="40"/>
      <c r="Z245" s="40"/>
      <c r="AA245" s="40"/>
      <c r="AB245" s="40"/>
      <c r="AC245" s="40"/>
      <c r="AD245" s="40"/>
      <c r="AE245" s="40"/>
      <c r="AF245" s="40"/>
      <c r="AG245" s="40"/>
      <c r="AH245" s="40"/>
      <c r="AI245" s="40"/>
      <c r="AJ245" s="40"/>
      <c r="AK245" s="40"/>
    </row>
    <row r="246">
      <c r="A246" s="10"/>
      <c r="B246" s="10"/>
      <c r="C246" s="10"/>
      <c r="D246" s="10"/>
      <c r="E246" s="10"/>
      <c r="F246" s="12"/>
      <c r="G246" s="300"/>
      <c r="H246" s="10"/>
      <c r="I246" s="10"/>
      <c r="J246" s="10"/>
      <c r="K246" s="10"/>
      <c r="L246" s="12"/>
      <c r="M246" s="29" t="str">
        <f t="shared" si="1"/>
        <v/>
      </c>
      <c r="N246" s="31" t="str">
        <f>IFERROR(__xludf.DUMMYFUNCTION("IF(Account!$F246&lt;&gt;"""", VALUE(REGEXREPLACE($I246, ""\,"", ""."")), """")"),"")</f>
        <v/>
      </c>
      <c r="O246" s="33" t="str">
        <f>IF(Account!$F246&lt;&gt;"", DATEVALUE(MID($A246,4,3) &amp; LEFT($A246,3) &amp; RIGHT($A246,4)) + TIMEVALUE($B246), "")</f>
        <v/>
      </c>
      <c r="P246" s="34" t="str">
        <f>IF(Account!$F246&lt;&gt;"", DATEVALUE(MID($C246,4,3) &amp; LEFT($C246,3) &amp; RIGHT($C246,4)), "")</f>
        <v/>
      </c>
      <c r="Q246" s="35" t="str">
        <f t="array" ref="Q246">IF($R246&lt;&gt;"",IFERROR(INDEX(Investment!$A:$A,MATCH($R246,Investment!$H:$H,0))),)</f>
        <v/>
      </c>
      <c r="R246" s="36" t="str">
        <f t="array" ref="R246">IF(AND($Y246="change",$H246="EUR"),IF(AND($AA246="Crédit",$O246=$O247),$R247,IF(AND($AA246="Débit",$O246=$O245),$R245)),IF(OR(AND(OR($E246&lt;&gt;"",$M246=""),$N246&lt;&gt;0),$A246=""),IFERROR(INDEX(Investment!$H:$H,MATCH($E246,Investment!$F:$F,0))),IFERROR(INDEX($R247:$R1119,MATCH(SUBSTITUTE($I246,"-","",1),$K247:$K1119,0)),INDEX($R247:$R1119,MATCH($K246,$K247:$K1119,0)))))</f>
        <v/>
      </c>
      <c r="S246" s="35" t="str">
        <f t="shared" si="2"/>
        <v/>
      </c>
      <c r="T246" s="37" t="str">
        <f t="shared" si="3"/>
        <v/>
      </c>
      <c r="U246" s="38" t="str">
        <f t="shared" si="4"/>
        <v/>
      </c>
      <c r="V246" s="31" t="str">
        <f t="shared" si="5"/>
        <v/>
      </c>
      <c r="W246" s="39" t="str">
        <f>IFERROR(__xludf.DUMMYFUNCTION(" IF(Account!$F246&lt;&gt;"""", SPLIT(Account!$F246, "" ""), """")"),"")</f>
        <v/>
      </c>
      <c r="X246" s="40"/>
      <c r="Y246" s="40"/>
      <c r="Z246" s="40"/>
      <c r="AA246" s="40"/>
      <c r="AB246" s="40"/>
      <c r="AC246" s="40"/>
      <c r="AD246" s="40"/>
      <c r="AE246" s="40"/>
      <c r="AF246" s="40"/>
      <c r="AG246" s="40"/>
      <c r="AH246" s="40"/>
      <c r="AI246" s="40"/>
      <c r="AJ246" s="40"/>
      <c r="AK246" s="40"/>
    </row>
    <row r="247">
      <c r="A247" s="10"/>
      <c r="B247" s="10"/>
      <c r="C247" s="10"/>
      <c r="D247" s="10"/>
      <c r="E247" s="10"/>
      <c r="F247" s="12"/>
      <c r="G247" s="10"/>
      <c r="H247" s="10"/>
      <c r="I247" s="10"/>
      <c r="J247" s="10"/>
      <c r="K247" s="10"/>
      <c r="L247" s="12"/>
      <c r="M247" s="29" t="str">
        <f t="shared" si="1"/>
        <v/>
      </c>
      <c r="N247" s="31" t="str">
        <f>IFERROR(__xludf.DUMMYFUNCTION("IF(Account!$F247&lt;&gt;"""", VALUE(REGEXREPLACE($I247, ""\,"", ""."")), """")"),"")</f>
        <v/>
      </c>
      <c r="O247" s="33" t="str">
        <f>IF(Account!$F247&lt;&gt;"", DATEVALUE(MID($A247,4,3) &amp; LEFT($A247,3) &amp; RIGHT($A247,4)) + TIMEVALUE($B247), "")</f>
        <v/>
      </c>
      <c r="P247" s="34" t="str">
        <f>IF(Account!$F247&lt;&gt;"", DATEVALUE(MID($C247,4,3) &amp; LEFT($C247,3) &amp; RIGHT($C247,4)), "")</f>
        <v/>
      </c>
      <c r="Q247" s="35" t="str">
        <f t="array" ref="Q247">IF($R247&lt;&gt;"",IFERROR(INDEX(Investment!$A:$A,MATCH($R247,Investment!$H:$H,0))),)</f>
        <v/>
      </c>
      <c r="R247" s="36" t="str">
        <f t="array" ref="R247">IF(AND($Y247="change",$H247="EUR"),IF(AND($AA247="Crédit",$O247=$O248),$R248,IF(AND($AA247="Débit",$O247=$O246),$R246)),IF(OR(AND(OR($E247&lt;&gt;"",$M247=""),$N247&lt;&gt;0),$A247=""),IFERROR(INDEX(Investment!$H:$H,MATCH($E247,Investment!$F:$F,0))),IFERROR(INDEX($R248:$R1119,MATCH(SUBSTITUTE($I247,"-","",1),$K248:$K1119,0)),INDEX($R248:$R1119,MATCH($K247,$K248:$K1119,0)))))</f>
        <v/>
      </c>
      <c r="S247" s="35" t="str">
        <f t="shared" si="2"/>
        <v/>
      </c>
      <c r="T247" s="37" t="str">
        <f t="shared" si="3"/>
        <v/>
      </c>
      <c r="U247" s="38" t="str">
        <f t="shared" si="4"/>
        <v/>
      </c>
      <c r="V247" s="31" t="str">
        <f t="shared" si="5"/>
        <v/>
      </c>
      <c r="W247" s="39" t="str">
        <f>IFERROR(__xludf.DUMMYFUNCTION(" IF(Account!$F247&lt;&gt;"""", SPLIT(Account!$F247, "" ""), """")"),"")</f>
        <v/>
      </c>
      <c r="X247" s="40"/>
      <c r="Y247" s="40"/>
      <c r="Z247" s="40"/>
      <c r="AA247" s="40"/>
      <c r="AB247" s="40"/>
      <c r="AC247" s="40"/>
      <c r="AD247" s="40"/>
      <c r="AE247" s="40"/>
      <c r="AF247" s="40"/>
      <c r="AG247" s="40"/>
      <c r="AH247" s="40"/>
      <c r="AI247" s="40"/>
      <c r="AJ247" s="40"/>
      <c r="AK247" s="40"/>
    </row>
    <row r="248">
      <c r="A248" s="10"/>
      <c r="B248" s="10"/>
      <c r="C248" s="10"/>
      <c r="D248" s="10"/>
      <c r="E248" s="10"/>
      <c r="F248" s="12"/>
      <c r="G248" s="300"/>
      <c r="H248" s="10"/>
      <c r="I248" s="10"/>
      <c r="J248" s="10"/>
      <c r="K248" s="10"/>
      <c r="L248" s="12"/>
      <c r="M248" s="29" t="str">
        <f t="shared" si="1"/>
        <v/>
      </c>
      <c r="N248" s="31" t="str">
        <f>IFERROR(__xludf.DUMMYFUNCTION("IF(Account!$F248&lt;&gt;"""", VALUE(REGEXREPLACE($I248, ""\,"", ""."")), """")"),"")</f>
        <v/>
      </c>
      <c r="O248" s="33" t="str">
        <f>IF(Account!$F248&lt;&gt;"", DATEVALUE(MID($A248,4,3) &amp; LEFT($A248,3) &amp; RIGHT($A248,4)) + TIMEVALUE($B248), "")</f>
        <v/>
      </c>
      <c r="P248" s="34" t="str">
        <f>IF(Account!$F248&lt;&gt;"", DATEVALUE(MID($C248,4,3) &amp; LEFT($C248,3) &amp; RIGHT($C248,4)), "")</f>
        <v/>
      </c>
      <c r="Q248" s="35" t="str">
        <f t="array" ref="Q248">IF($R248&lt;&gt;"",IFERROR(INDEX(Investment!$A:$A,MATCH($R248,Investment!$H:$H,0))),)</f>
        <v/>
      </c>
      <c r="R248" s="36" t="str">
        <f t="array" ref="R248">IF(AND($Y248="change",$H248="EUR"),IF(AND($AA248="Crédit",$O248=$O249),$R249,IF(AND($AA248="Débit",$O248=$O247),$R247)),IF(OR(AND(OR($E248&lt;&gt;"",$M248=""),$N248&lt;&gt;0),$A248=""),IFERROR(INDEX(Investment!$H:$H,MATCH($E248,Investment!$F:$F,0))),IFERROR(INDEX($R249:$R1119,MATCH(SUBSTITUTE($I248,"-","",1),$K249:$K1119,0)),INDEX($R249:$R1119,MATCH($K248,$K249:$K1119,0)))))</f>
        <v/>
      </c>
      <c r="S248" s="35" t="str">
        <f t="shared" si="2"/>
        <v/>
      </c>
      <c r="T248" s="37" t="str">
        <f t="shared" si="3"/>
        <v/>
      </c>
      <c r="U248" s="38" t="str">
        <f t="shared" si="4"/>
        <v/>
      </c>
      <c r="V248" s="31" t="str">
        <f t="shared" si="5"/>
        <v/>
      </c>
      <c r="W248" s="39" t="str">
        <f>IFERROR(__xludf.DUMMYFUNCTION(" IF(Account!$F248&lt;&gt;"""", SPLIT(Account!$F248, "" ""), """")"),"")</f>
        <v/>
      </c>
      <c r="X248" s="40"/>
      <c r="Y248" s="40"/>
      <c r="Z248" s="40"/>
      <c r="AA248" s="40"/>
      <c r="AB248" s="40"/>
      <c r="AC248" s="40"/>
      <c r="AD248" s="40"/>
      <c r="AE248" s="40"/>
      <c r="AF248" s="40"/>
      <c r="AG248" s="40"/>
      <c r="AH248" s="40"/>
      <c r="AI248" s="40"/>
      <c r="AJ248" s="40"/>
      <c r="AK248" s="40"/>
    </row>
    <row r="249">
      <c r="A249" s="10"/>
      <c r="B249" s="10"/>
      <c r="C249" s="10"/>
      <c r="D249" s="10"/>
      <c r="E249" s="10"/>
      <c r="F249" s="12"/>
      <c r="G249" s="10"/>
      <c r="H249" s="10"/>
      <c r="I249" s="10"/>
      <c r="J249" s="10"/>
      <c r="K249" s="10"/>
      <c r="L249" s="12"/>
      <c r="M249" s="29" t="str">
        <f t="shared" si="1"/>
        <v/>
      </c>
      <c r="N249" s="31" t="str">
        <f>IFERROR(__xludf.DUMMYFUNCTION("IF(Account!$F249&lt;&gt;"""", VALUE(REGEXREPLACE($I249, ""\,"", ""."")), """")"),"")</f>
        <v/>
      </c>
      <c r="O249" s="33" t="str">
        <f>IF(Account!$F249&lt;&gt;"", DATEVALUE(MID($A249,4,3) &amp; LEFT($A249,3) &amp; RIGHT($A249,4)) + TIMEVALUE($B249), "")</f>
        <v/>
      </c>
      <c r="P249" s="34" t="str">
        <f>IF(Account!$F249&lt;&gt;"", DATEVALUE(MID($C249,4,3) &amp; LEFT($C249,3) &amp; RIGHT($C249,4)), "")</f>
        <v/>
      </c>
      <c r="Q249" s="35" t="str">
        <f t="array" ref="Q249">IF($R249&lt;&gt;"",IFERROR(INDEX(Investment!$A:$A,MATCH($R249,Investment!$H:$H,0))),)</f>
        <v/>
      </c>
      <c r="R249" s="36" t="str">
        <f t="array" ref="R249">IF(AND($Y249="change",$H249="EUR"),IF(AND($AA249="Crédit",$O249=$O250),$R250,IF(AND($AA249="Débit",$O249=$O248),$R248)),IF(OR(AND(OR($E249&lt;&gt;"",$M249=""),$N249&lt;&gt;0),$A249=""),IFERROR(INDEX(Investment!$H:$H,MATCH($E249,Investment!$F:$F,0))),IFERROR(INDEX($R250:$R1119,MATCH(SUBSTITUTE($I249,"-","",1),$K250:$K1119,0)),INDEX($R250:$R1119,MATCH($K249,$K250:$K1119,0)))))</f>
        <v/>
      </c>
      <c r="S249" s="35" t="str">
        <f t="shared" si="2"/>
        <v/>
      </c>
      <c r="T249" s="37" t="str">
        <f t="shared" si="3"/>
        <v/>
      </c>
      <c r="U249" s="38" t="str">
        <f t="shared" si="4"/>
        <v/>
      </c>
      <c r="V249" s="31" t="str">
        <f t="shared" si="5"/>
        <v/>
      </c>
      <c r="W249" s="39" t="str">
        <f>IFERROR(__xludf.DUMMYFUNCTION(" IF(Account!$F249&lt;&gt;"""", SPLIT(Account!$F249, "" ""), """")"),"")</f>
        <v/>
      </c>
      <c r="X249" s="40"/>
      <c r="Y249" s="40"/>
      <c r="Z249" s="40"/>
      <c r="AA249" s="40"/>
      <c r="AB249" s="40"/>
      <c r="AC249" s="40"/>
      <c r="AD249" s="40"/>
      <c r="AE249" s="40"/>
      <c r="AF249" s="40"/>
      <c r="AG249" s="40"/>
      <c r="AH249" s="40"/>
      <c r="AI249" s="40"/>
      <c r="AJ249" s="40"/>
      <c r="AK249" s="40"/>
    </row>
    <row r="250">
      <c r="A250" s="10"/>
      <c r="B250" s="10"/>
      <c r="C250" s="10"/>
      <c r="D250" s="10"/>
      <c r="E250" s="10"/>
      <c r="F250" s="12"/>
      <c r="G250" s="300"/>
      <c r="H250" s="10"/>
      <c r="I250" s="10"/>
      <c r="J250" s="10"/>
      <c r="K250" s="10"/>
      <c r="L250" s="12"/>
      <c r="M250" s="29" t="str">
        <f t="shared" si="1"/>
        <v/>
      </c>
      <c r="N250" s="31" t="str">
        <f>IFERROR(__xludf.DUMMYFUNCTION("IF(Account!$F250&lt;&gt;"""", VALUE(REGEXREPLACE($I250, ""\,"", ""."")), """")"),"")</f>
        <v/>
      </c>
      <c r="O250" s="33" t="str">
        <f>IF(Account!$F250&lt;&gt;"", DATEVALUE(MID($A250,4,3) &amp; LEFT($A250,3) &amp; RIGHT($A250,4)) + TIMEVALUE($B250), "")</f>
        <v/>
      </c>
      <c r="P250" s="34" t="str">
        <f>IF(Account!$F250&lt;&gt;"", DATEVALUE(MID($C250,4,3) &amp; LEFT($C250,3) &amp; RIGHT($C250,4)), "")</f>
        <v/>
      </c>
      <c r="Q250" s="35" t="str">
        <f t="array" ref="Q250">IF($R250&lt;&gt;"",IFERROR(INDEX(Investment!$A:$A,MATCH($R250,Investment!$H:$H,0))),)</f>
        <v/>
      </c>
      <c r="R250" s="36" t="str">
        <f t="array" ref="R250">IF(AND($Y250="change",$H250="EUR"),IF(AND($AA250="Crédit",$O250=$O251),$R251,IF(AND($AA250="Débit",$O250=$O249),$R249)),IF(OR(AND(OR($E250&lt;&gt;"",$M250=""),$N250&lt;&gt;0),$A250=""),IFERROR(INDEX(Investment!$H:$H,MATCH($E250,Investment!$F:$F,0))),IFERROR(INDEX($R251:$R1119,MATCH(SUBSTITUTE($I250,"-","",1),$K251:$K1119,0)),INDEX($R251:$R1119,MATCH($K250,$K251:$K1119,0)))))</f>
        <v/>
      </c>
      <c r="S250" s="35" t="str">
        <f t="shared" si="2"/>
        <v/>
      </c>
      <c r="T250" s="37" t="str">
        <f t="shared" si="3"/>
        <v/>
      </c>
      <c r="U250" s="38" t="str">
        <f t="shared" si="4"/>
        <v/>
      </c>
      <c r="V250" s="31" t="str">
        <f t="shared" si="5"/>
        <v/>
      </c>
      <c r="W250" s="39" t="str">
        <f>IFERROR(__xludf.DUMMYFUNCTION(" IF(Account!$F250&lt;&gt;"""", SPLIT(Account!$F250, "" ""), """")"),"")</f>
        <v/>
      </c>
      <c r="X250" s="40"/>
      <c r="Y250" s="40"/>
      <c r="Z250" s="40"/>
      <c r="AA250" s="40"/>
      <c r="AB250" s="40"/>
      <c r="AC250" s="40"/>
      <c r="AD250" s="40"/>
      <c r="AE250" s="40"/>
      <c r="AF250" s="40"/>
      <c r="AG250" s="40"/>
      <c r="AH250" s="40"/>
      <c r="AI250" s="40"/>
      <c r="AJ250" s="40"/>
      <c r="AK250" s="40"/>
    </row>
    <row r="251">
      <c r="A251" s="10"/>
      <c r="B251" s="10"/>
      <c r="C251" s="10"/>
      <c r="D251" s="10"/>
      <c r="E251" s="10"/>
      <c r="F251" s="12"/>
      <c r="G251" s="10"/>
      <c r="H251" s="10"/>
      <c r="I251" s="10"/>
      <c r="J251" s="10"/>
      <c r="K251" s="10"/>
      <c r="L251" s="12"/>
      <c r="M251" s="29" t="str">
        <f t="shared" si="1"/>
        <v/>
      </c>
      <c r="N251" s="31" t="str">
        <f>IFERROR(__xludf.DUMMYFUNCTION("IF(Account!$F251&lt;&gt;"""", VALUE(REGEXREPLACE($I251, ""\,"", ""."")), """")"),"")</f>
        <v/>
      </c>
      <c r="O251" s="33" t="str">
        <f>IF(Account!$F251&lt;&gt;"", DATEVALUE(MID($A251,4,3) &amp; LEFT($A251,3) &amp; RIGHT($A251,4)) + TIMEVALUE($B251), "")</f>
        <v/>
      </c>
      <c r="P251" s="34" t="str">
        <f>IF(Account!$F251&lt;&gt;"", DATEVALUE(MID($C251,4,3) &amp; LEFT($C251,3) &amp; RIGHT($C251,4)), "")</f>
        <v/>
      </c>
      <c r="Q251" s="35" t="str">
        <f t="array" ref="Q251">IF($R251&lt;&gt;"",IFERROR(INDEX(Investment!$A:$A,MATCH($R251,Investment!$H:$H,0))),)</f>
        <v/>
      </c>
      <c r="R251" s="36" t="str">
        <f t="array" ref="R251">IF(AND($Y251="change",$H251="EUR"),IF(AND($AA251="Crédit",$O251=$O252),$R252,IF(AND($AA251="Débit",$O251=$O250),$R250)),IF(OR(AND(OR($E251&lt;&gt;"",$M251=""),$N251&lt;&gt;0),$A251=""),IFERROR(INDEX(Investment!$H:$H,MATCH($E251,Investment!$F:$F,0))),IFERROR(INDEX($R252:$R1119,MATCH(SUBSTITUTE($I251,"-","",1),$K252:$K1119,0)),INDEX($R252:$R1119,MATCH($K251,$K252:$K1119,0)))))</f>
        <v/>
      </c>
      <c r="S251" s="35" t="str">
        <f t="shared" si="2"/>
        <v/>
      </c>
      <c r="T251" s="37" t="str">
        <f t="shared" si="3"/>
        <v/>
      </c>
      <c r="U251" s="38" t="str">
        <f t="shared" si="4"/>
        <v/>
      </c>
      <c r="V251" s="31" t="str">
        <f t="shared" si="5"/>
        <v/>
      </c>
      <c r="W251" s="39" t="str">
        <f>IFERROR(__xludf.DUMMYFUNCTION(" IF(Account!$F251&lt;&gt;"""", SPLIT(Account!$F251, "" ""), """")"),"")</f>
        <v/>
      </c>
      <c r="X251" s="40"/>
      <c r="Y251" s="40"/>
      <c r="Z251" s="40"/>
      <c r="AA251" s="40"/>
      <c r="AB251" s="40"/>
      <c r="AC251" s="40"/>
      <c r="AD251" s="40"/>
      <c r="AE251" s="40"/>
      <c r="AF251" s="40"/>
      <c r="AG251" s="40"/>
      <c r="AH251" s="40"/>
      <c r="AI251" s="40"/>
      <c r="AJ251" s="40"/>
      <c r="AK251" s="40"/>
    </row>
    <row r="252">
      <c r="A252" s="10"/>
      <c r="B252" s="10"/>
      <c r="C252" s="10"/>
      <c r="D252" s="10"/>
      <c r="E252" s="10"/>
      <c r="F252" s="12"/>
      <c r="G252" s="300"/>
      <c r="H252" s="10"/>
      <c r="I252" s="10"/>
      <c r="J252" s="10"/>
      <c r="K252" s="10"/>
      <c r="L252" s="12"/>
      <c r="M252" s="29" t="str">
        <f t="shared" si="1"/>
        <v/>
      </c>
      <c r="N252" s="31" t="str">
        <f>IFERROR(__xludf.DUMMYFUNCTION("IF(Account!$F252&lt;&gt;"""", VALUE(REGEXREPLACE($I252, ""\,"", ""."")), """")"),"")</f>
        <v/>
      </c>
      <c r="O252" s="33" t="str">
        <f>IF(Account!$F252&lt;&gt;"", DATEVALUE(MID($A252,4,3) &amp; LEFT($A252,3) &amp; RIGHT($A252,4)) + TIMEVALUE($B252), "")</f>
        <v/>
      </c>
      <c r="P252" s="34" t="str">
        <f>IF(Account!$F252&lt;&gt;"", DATEVALUE(MID($C252,4,3) &amp; LEFT($C252,3) &amp; RIGHT($C252,4)), "")</f>
        <v/>
      </c>
      <c r="Q252" s="35" t="str">
        <f t="array" ref="Q252">IF($R252&lt;&gt;"",IFERROR(INDEX(Investment!$A:$A,MATCH($R252,Investment!$H:$H,0))),)</f>
        <v/>
      </c>
      <c r="R252" s="36" t="str">
        <f t="array" ref="R252">IF(AND($Y252="change",$H252="EUR"),IF(AND($AA252="Crédit",$O252=$O253),$R253,IF(AND($AA252="Débit",$O252=$O251),$R251)),IF(OR(AND(OR($E252&lt;&gt;"",$M252=""),$N252&lt;&gt;0),$A252=""),IFERROR(INDEX(Investment!$H:$H,MATCH($E252,Investment!$F:$F,0))),IFERROR(INDEX($R253:$R1119,MATCH(SUBSTITUTE($I252,"-","",1),$K253:$K1119,0)),INDEX($R253:$R1119,MATCH($K252,$K253:$K1119,0)))))</f>
        <v/>
      </c>
      <c r="S252" s="35" t="str">
        <f t="shared" si="2"/>
        <v/>
      </c>
      <c r="T252" s="37" t="str">
        <f t="shared" si="3"/>
        <v/>
      </c>
      <c r="U252" s="38" t="str">
        <f t="shared" si="4"/>
        <v/>
      </c>
      <c r="V252" s="31" t="str">
        <f t="shared" si="5"/>
        <v/>
      </c>
      <c r="W252" s="39" t="str">
        <f>IFERROR(__xludf.DUMMYFUNCTION(" IF(Account!$F252&lt;&gt;"""", SPLIT(Account!$F252, "" ""), """")"),"")</f>
        <v/>
      </c>
      <c r="X252" s="40"/>
      <c r="Y252" s="40"/>
      <c r="Z252" s="40"/>
      <c r="AA252" s="40"/>
      <c r="AB252" s="40"/>
      <c r="AC252" s="40"/>
      <c r="AD252" s="40"/>
      <c r="AE252" s="40"/>
      <c r="AF252" s="40"/>
      <c r="AG252" s="40"/>
      <c r="AH252" s="40"/>
      <c r="AI252" s="40"/>
      <c r="AJ252" s="40"/>
      <c r="AK252" s="40"/>
    </row>
    <row r="253">
      <c r="A253" s="10"/>
      <c r="B253" s="10"/>
      <c r="C253" s="10"/>
      <c r="D253" s="10"/>
      <c r="E253" s="10"/>
      <c r="F253" s="12"/>
      <c r="G253" s="10"/>
      <c r="H253" s="10"/>
      <c r="I253" s="10"/>
      <c r="J253" s="10"/>
      <c r="K253" s="10"/>
      <c r="L253" s="12"/>
      <c r="M253" s="29" t="str">
        <f t="shared" si="1"/>
        <v/>
      </c>
      <c r="N253" s="31" t="str">
        <f>IFERROR(__xludf.DUMMYFUNCTION("IF(Account!$F253&lt;&gt;"""", VALUE(REGEXREPLACE($I253, ""\,"", ""."")), """")"),"")</f>
        <v/>
      </c>
      <c r="O253" s="33" t="str">
        <f>IF(Account!$F253&lt;&gt;"", DATEVALUE(MID($A253,4,3) &amp; LEFT($A253,3) &amp; RIGHT($A253,4)) + TIMEVALUE($B253), "")</f>
        <v/>
      </c>
      <c r="P253" s="34" t="str">
        <f>IF(Account!$F253&lt;&gt;"", DATEVALUE(MID($C253,4,3) &amp; LEFT($C253,3) &amp; RIGHT($C253,4)), "")</f>
        <v/>
      </c>
      <c r="Q253" s="35" t="str">
        <f t="array" ref="Q253">IF($R253&lt;&gt;"",IFERROR(INDEX(Investment!$A:$A,MATCH($R253,Investment!$H:$H,0))),)</f>
        <v/>
      </c>
      <c r="R253" s="36" t="str">
        <f t="array" ref="R253">IF(AND($Y253="change",$H253="EUR"),IF(AND($AA253="Crédit",$O253=$O254),$R254,IF(AND($AA253="Débit",$O253=$O252),$R252)),IF(OR(AND(OR($E253&lt;&gt;"",$M253=""),$N253&lt;&gt;0),$A253=""),IFERROR(INDEX(Investment!$H:$H,MATCH($E253,Investment!$F:$F,0))),IFERROR(INDEX($R254:$R1119,MATCH(SUBSTITUTE($I253,"-","",1),$K254:$K1119,0)),INDEX($R254:$R1119,MATCH($K253,$K254:$K1119,0)))))</f>
        <v/>
      </c>
      <c r="S253" s="35" t="str">
        <f t="shared" si="2"/>
        <v/>
      </c>
      <c r="T253" s="37" t="str">
        <f t="shared" si="3"/>
        <v/>
      </c>
      <c r="U253" s="38" t="str">
        <f t="shared" si="4"/>
        <v/>
      </c>
      <c r="V253" s="31" t="str">
        <f t="shared" si="5"/>
        <v/>
      </c>
      <c r="W253" s="39" t="str">
        <f>IFERROR(__xludf.DUMMYFUNCTION(" IF(Account!$F253&lt;&gt;"""", SPLIT(Account!$F253, "" ""), """")"),"")</f>
        <v/>
      </c>
      <c r="X253" s="40"/>
      <c r="Y253" s="40"/>
      <c r="Z253" s="40"/>
      <c r="AA253" s="40"/>
      <c r="AB253" s="40"/>
      <c r="AC253" s="40"/>
      <c r="AD253" s="40"/>
      <c r="AE253" s="40"/>
      <c r="AF253" s="40"/>
      <c r="AG253" s="40"/>
      <c r="AH253" s="40"/>
      <c r="AI253" s="40"/>
      <c r="AJ253" s="40"/>
      <c r="AK253" s="40"/>
    </row>
    <row r="254">
      <c r="A254" s="10"/>
      <c r="B254" s="10"/>
      <c r="C254" s="10"/>
      <c r="D254" s="10"/>
      <c r="E254" s="10"/>
      <c r="F254" s="12"/>
      <c r="G254" s="10"/>
      <c r="H254" s="10"/>
      <c r="I254" s="10"/>
      <c r="J254" s="10"/>
      <c r="K254" s="10"/>
      <c r="L254" s="12"/>
      <c r="M254" s="29" t="str">
        <f t="shared" si="1"/>
        <v/>
      </c>
      <c r="N254" s="31" t="str">
        <f>IFERROR(__xludf.DUMMYFUNCTION("IF(Account!$F254&lt;&gt;"""", VALUE(REGEXREPLACE($I254, ""\,"", ""."")), """")"),"")</f>
        <v/>
      </c>
      <c r="O254" s="33" t="str">
        <f>IF(Account!$F254&lt;&gt;"", DATEVALUE(MID($A254,4,3) &amp; LEFT($A254,3) &amp; RIGHT($A254,4)) + TIMEVALUE($B254), "")</f>
        <v/>
      </c>
      <c r="P254" s="34" t="str">
        <f>IF(Account!$F254&lt;&gt;"", DATEVALUE(MID($C254,4,3) &amp; LEFT($C254,3) &amp; RIGHT($C254,4)), "")</f>
        <v/>
      </c>
      <c r="Q254" s="35" t="str">
        <f t="array" ref="Q254">IF($R254&lt;&gt;"",IFERROR(INDEX(Investment!$A:$A,MATCH($R254,Investment!$H:$H,0))),)</f>
        <v/>
      </c>
      <c r="R254" s="36" t="str">
        <f t="array" ref="R254">IF(AND($Y254="change",$H254="EUR"),IF(AND($AA254="Crédit",$O254=$O255),$R255,IF(AND($AA254="Débit",$O254=$O253),$R253)),IF(OR(AND(OR($E254&lt;&gt;"",$M254=""),$N254&lt;&gt;0),$A254=""),IFERROR(INDEX(Investment!$H:$H,MATCH($E254,Investment!$F:$F,0))),IFERROR(INDEX($R255:$R1119,MATCH(SUBSTITUTE($I254,"-","",1),$K255:$K1119,0)),INDEX($R255:$R1119,MATCH($K254,$K255:$K1119,0)))))</f>
        <v/>
      </c>
      <c r="S254" s="35" t="str">
        <f t="shared" si="2"/>
        <v/>
      </c>
      <c r="T254" s="37" t="str">
        <f t="shared" si="3"/>
        <v/>
      </c>
      <c r="U254" s="38" t="str">
        <f t="shared" si="4"/>
        <v/>
      </c>
      <c r="V254" s="31" t="str">
        <f t="shared" si="5"/>
        <v/>
      </c>
      <c r="W254" s="39" t="str">
        <f>IFERROR(__xludf.DUMMYFUNCTION(" IF(Account!$F254&lt;&gt;"""", SPLIT(Account!$F254, "" ""), """")"),"")</f>
        <v/>
      </c>
      <c r="X254" s="40"/>
      <c r="Y254" s="40"/>
      <c r="Z254" s="40"/>
      <c r="AA254" s="40"/>
      <c r="AB254" s="40"/>
      <c r="AC254" s="40"/>
      <c r="AD254" s="40"/>
      <c r="AE254" s="40"/>
      <c r="AF254" s="40"/>
      <c r="AG254" s="40"/>
      <c r="AH254" s="40"/>
      <c r="AI254" s="40"/>
      <c r="AJ254" s="40"/>
      <c r="AK254" s="40"/>
    </row>
    <row r="255">
      <c r="A255" s="10"/>
      <c r="B255" s="10"/>
      <c r="C255" s="10"/>
      <c r="D255" s="10"/>
      <c r="E255" s="10"/>
      <c r="F255" s="12"/>
      <c r="G255" s="10"/>
      <c r="H255" s="10"/>
      <c r="I255" s="10"/>
      <c r="J255" s="10"/>
      <c r="K255" s="10"/>
      <c r="L255" s="12"/>
      <c r="M255" s="29" t="str">
        <f t="shared" si="1"/>
        <v/>
      </c>
      <c r="N255" s="31" t="str">
        <f>IFERROR(__xludf.DUMMYFUNCTION("IF(Account!$F255&lt;&gt;"""", VALUE(REGEXREPLACE($I255, ""\,"", ""."")), """")"),"")</f>
        <v/>
      </c>
      <c r="O255" s="33" t="str">
        <f>IF(Account!$F255&lt;&gt;"", DATEVALUE(MID($A255,4,3) &amp; LEFT($A255,3) &amp; RIGHT($A255,4)) + TIMEVALUE($B255), "")</f>
        <v/>
      </c>
      <c r="P255" s="34" t="str">
        <f>IF(Account!$F255&lt;&gt;"", DATEVALUE(MID($C255,4,3) &amp; LEFT($C255,3) &amp; RIGHT($C255,4)), "")</f>
        <v/>
      </c>
      <c r="Q255" s="35" t="str">
        <f t="array" ref="Q255">IF($R255&lt;&gt;"",IFERROR(INDEX(Investment!$A:$A,MATCH($R255,Investment!$H:$H,0))),)</f>
        <v/>
      </c>
      <c r="R255" s="36" t="str">
        <f t="array" ref="R255">IF(AND($Y255="change",$H255="EUR"),IF(AND($AA255="Crédit",$O255=$O256),$R256,IF(AND($AA255="Débit",$O255=$O254),$R254)),IF(OR(AND(OR($E255&lt;&gt;"",$M255=""),$N255&lt;&gt;0),$A255=""),IFERROR(INDEX(Investment!$H:$H,MATCH($E255,Investment!$F:$F,0))),IFERROR(INDEX($R256:$R1119,MATCH(SUBSTITUTE($I255,"-","",1),$K256:$K1119,0)),INDEX($R256:$R1119,MATCH($K255,$K256:$K1119,0)))))</f>
        <v/>
      </c>
      <c r="S255" s="35" t="str">
        <f t="shared" si="2"/>
        <v/>
      </c>
      <c r="T255" s="37" t="str">
        <f t="shared" si="3"/>
        <v/>
      </c>
      <c r="U255" s="38" t="str">
        <f t="shared" si="4"/>
        <v/>
      </c>
      <c r="V255" s="31" t="str">
        <f t="shared" si="5"/>
        <v/>
      </c>
      <c r="W255" s="39" t="str">
        <f>IFERROR(__xludf.DUMMYFUNCTION(" IF(Account!$F255&lt;&gt;"""", SPLIT(Account!$F255, "" ""), """")"),"")</f>
        <v/>
      </c>
      <c r="X255" s="40"/>
      <c r="Y255" s="40"/>
      <c r="Z255" s="40"/>
      <c r="AA255" s="40"/>
      <c r="AB255" s="40"/>
      <c r="AC255" s="40"/>
      <c r="AD255" s="40"/>
      <c r="AE255" s="40"/>
      <c r="AF255" s="40"/>
      <c r="AG255" s="40"/>
      <c r="AH255" s="40"/>
      <c r="AI255" s="40"/>
      <c r="AJ255" s="40"/>
      <c r="AK255" s="40"/>
    </row>
    <row r="256">
      <c r="A256" s="10"/>
      <c r="B256" s="10"/>
      <c r="C256" s="10"/>
      <c r="D256" s="10"/>
      <c r="E256" s="10"/>
      <c r="F256" s="12"/>
      <c r="G256" s="300"/>
      <c r="H256" s="10"/>
      <c r="I256" s="10"/>
      <c r="J256" s="10"/>
      <c r="K256" s="10"/>
      <c r="L256" s="12"/>
      <c r="M256" s="29" t="str">
        <f t="shared" si="1"/>
        <v/>
      </c>
      <c r="N256" s="31" t="str">
        <f>IFERROR(__xludf.DUMMYFUNCTION("IF(Account!$F256&lt;&gt;"""", VALUE(REGEXREPLACE($I256, ""\,"", ""."")), """")"),"")</f>
        <v/>
      </c>
      <c r="O256" s="33" t="str">
        <f>IF(Account!$F256&lt;&gt;"", DATEVALUE(MID($A256,4,3) &amp; LEFT($A256,3) &amp; RIGHT($A256,4)) + TIMEVALUE($B256), "")</f>
        <v/>
      </c>
      <c r="P256" s="34" t="str">
        <f>IF(Account!$F256&lt;&gt;"", DATEVALUE(MID($C256,4,3) &amp; LEFT($C256,3) &amp; RIGHT($C256,4)), "")</f>
        <v/>
      </c>
      <c r="Q256" s="35" t="str">
        <f t="array" ref="Q256">IF($R256&lt;&gt;"",IFERROR(INDEX(Investment!$A:$A,MATCH($R256,Investment!$H:$H,0))),)</f>
        <v/>
      </c>
      <c r="R256" s="36" t="str">
        <f t="array" ref="R256">IF(AND($Y256="change",$H256="EUR"),IF(AND($AA256="Crédit",$O256=$O257),$R257,IF(AND($AA256="Débit",$O256=$O255),$R255)),IF(OR(AND(OR($E256&lt;&gt;"",$M256=""),$N256&lt;&gt;0),$A256=""),IFERROR(INDEX(Investment!$H:$H,MATCH($E256,Investment!$F:$F,0))),IFERROR(INDEX($R257:$R1119,MATCH(SUBSTITUTE($I256,"-","",1),$K257:$K1119,0)),INDEX($R257:$R1119,MATCH($K256,$K257:$K1119,0)))))</f>
        <v/>
      </c>
      <c r="S256" s="35" t="str">
        <f t="shared" si="2"/>
        <v/>
      </c>
      <c r="T256" s="37" t="str">
        <f t="shared" si="3"/>
        <v/>
      </c>
      <c r="U256" s="38" t="str">
        <f t="shared" si="4"/>
        <v/>
      </c>
      <c r="V256" s="31" t="str">
        <f t="shared" si="5"/>
        <v/>
      </c>
      <c r="W256" s="39" t="str">
        <f>IFERROR(__xludf.DUMMYFUNCTION(" IF(Account!$F256&lt;&gt;"""", SPLIT(Account!$F256, "" ""), """")"),"")</f>
        <v/>
      </c>
      <c r="X256" s="40"/>
      <c r="Y256" s="40"/>
      <c r="Z256" s="40"/>
      <c r="AA256" s="40"/>
      <c r="AB256" s="40"/>
      <c r="AC256" s="40"/>
      <c r="AD256" s="40"/>
      <c r="AE256" s="40"/>
      <c r="AF256" s="40"/>
      <c r="AG256" s="40"/>
      <c r="AH256" s="40"/>
      <c r="AI256" s="40"/>
      <c r="AJ256" s="40"/>
      <c r="AK256" s="40"/>
    </row>
    <row r="257">
      <c r="A257" s="10"/>
      <c r="B257" s="10"/>
      <c r="C257" s="10"/>
      <c r="D257" s="10"/>
      <c r="E257" s="10"/>
      <c r="F257" s="12"/>
      <c r="G257" s="10"/>
      <c r="H257" s="10"/>
      <c r="I257" s="10"/>
      <c r="J257" s="10"/>
      <c r="K257" s="10"/>
      <c r="L257" s="12"/>
      <c r="M257" s="29" t="str">
        <f t="shared" si="1"/>
        <v/>
      </c>
      <c r="N257" s="31" t="str">
        <f>IFERROR(__xludf.DUMMYFUNCTION("IF(Account!$F257&lt;&gt;"""", VALUE(REGEXREPLACE($I257, ""\,"", ""."")), """")"),"")</f>
        <v/>
      </c>
      <c r="O257" s="33" t="str">
        <f>IF(Account!$F257&lt;&gt;"", DATEVALUE(MID($A257,4,3) &amp; LEFT($A257,3) &amp; RIGHT($A257,4)) + TIMEVALUE($B257), "")</f>
        <v/>
      </c>
      <c r="P257" s="34" t="str">
        <f>IF(Account!$F257&lt;&gt;"", DATEVALUE(MID($C257,4,3) &amp; LEFT($C257,3) &amp; RIGHT($C257,4)), "")</f>
        <v/>
      </c>
      <c r="Q257" s="35" t="str">
        <f t="array" ref="Q257">IF($R257&lt;&gt;"",IFERROR(INDEX(Investment!$A:$A,MATCH($R257,Investment!$H:$H,0))),)</f>
        <v/>
      </c>
      <c r="R257" s="36" t="str">
        <f t="array" ref="R257">IF(AND($Y257="change",$H257="EUR"),IF(AND($AA257="Crédit",$O257=$O258),$R258,IF(AND($AA257="Débit",$O257=$O256),$R256)),IF(OR(AND(OR($E257&lt;&gt;"",$M257=""),$N257&lt;&gt;0),$A257=""),IFERROR(INDEX(Investment!$H:$H,MATCH($E257,Investment!$F:$F,0))),IFERROR(INDEX($R258:$R1119,MATCH(SUBSTITUTE($I257,"-","",1),$K258:$K1119,0)),INDEX($R258:$R1119,MATCH($K257,$K258:$K1119,0)))))</f>
        <v/>
      </c>
      <c r="S257" s="35" t="str">
        <f t="shared" si="2"/>
        <v/>
      </c>
      <c r="T257" s="37" t="str">
        <f t="shared" si="3"/>
        <v/>
      </c>
      <c r="U257" s="38" t="str">
        <f t="shared" si="4"/>
        <v/>
      </c>
      <c r="V257" s="31" t="str">
        <f t="shared" si="5"/>
        <v/>
      </c>
      <c r="W257" s="39" t="str">
        <f>IFERROR(__xludf.DUMMYFUNCTION(" IF(Account!$F257&lt;&gt;"""", SPLIT(Account!$F257, "" ""), """")"),"")</f>
        <v/>
      </c>
      <c r="X257" s="40"/>
      <c r="Y257" s="40"/>
      <c r="Z257" s="40"/>
      <c r="AA257" s="40"/>
      <c r="AB257" s="40"/>
      <c r="AC257" s="40"/>
      <c r="AD257" s="40"/>
      <c r="AE257" s="40"/>
      <c r="AF257" s="40"/>
      <c r="AG257" s="40"/>
      <c r="AH257" s="40"/>
      <c r="AI257" s="40"/>
      <c r="AJ257" s="40"/>
      <c r="AK257" s="40"/>
    </row>
    <row r="258">
      <c r="A258" s="10"/>
      <c r="B258" s="10"/>
      <c r="C258" s="10"/>
      <c r="D258" s="10"/>
      <c r="E258" s="10"/>
      <c r="F258" s="12"/>
      <c r="G258" s="300"/>
      <c r="H258" s="10"/>
      <c r="I258" s="10"/>
      <c r="J258" s="10"/>
      <c r="K258" s="10"/>
      <c r="L258" s="12"/>
      <c r="M258" s="29" t="str">
        <f t="shared" si="1"/>
        <v/>
      </c>
      <c r="N258" s="31" t="str">
        <f>IFERROR(__xludf.DUMMYFUNCTION("IF(Account!$F258&lt;&gt;"""", VALUE(REGEXREPLACE($I258, ""\,"", ""."")), """")"),"")</f>
        <v/>
      </c>
      <c r="O258" s="33" t="str">
        <f>IF(Account!$F258&lt;&gt;"", DATEVALUE(MID($A258,4,3) &amp; LEFT($A258,3) &amp; RIGHT($A258,4)) + TIMEVALUE($B258), "")</f>
        <v/>
      </c>
      <c r="P258" s="34" t="str">
        <f>IF(Account!$F258&lt;&gt;"", DATEVALUE(MID($C258,4,3) &amp; LEFT($C258,3) &amp; RIGHT($C258,4)), "")</f>
        <v/>
      </c>
      <c r="Q258" s="35" t="str">
        <f t="array" ref="Q258">IF($R258&lt;&gt;"",IFERROR(INDEX(Investment!$A:$A,MATCH($R258,Investment!$H:$H,0))),)</f>
        <v/>
      </c>
      <c r="R258" s="36" t="str">
        <f t="array" ref="R258">IF(AND($Y258="change",$H258="EUR"),IF(AND($AA258="Crédit",$O258=$O259),$R259,IF(AND($AA258="Débit",$O258=$O257),$R257)),IF(OR(AND(OR($E258&lt;&gt;"",$M258=""),$N258&lt;&gt;0),$A258=""),IFERROR(INDEX(Investment!$H:$H,MATCH($E258,Investment!$F:$F,0))),IFERROR(INDEX($R259:$R1119,MATCH(SUBSTITUTE($I258,"-","",1),$K259:$K1119,0)),INDEX($R259:$R1119,MATCH($K258,$K259:$K1119,0)))))</f>
        <v/>
      </c>
      <c r="S258" s="35" t="str">
        <f t="shared" si="2"/>
        <v/>
      </c>
      <c r="T258" s="37" t="str">
        <f t="shared" si="3"/>
        <v/>
      </c>
      <c r="U258" s="38" t="str">
        <f t="shared" si="4"/>
        <v/>
      </c>
      <c r="V258" s="31" t="str">
        <f t="shared" si="5"/>
        <v/>
      </c>
      <c r="W258" s="39" t="str">
        <f>IFERROR(__xludf.DUMMYFUNCTION(" IF(Account!$F258&lt;&gt;"""", SPLIT(Account!$F258, "" ""), """")"),"")</f>
        <v/>
      </c>
      <c r="X258" s="40"/>
      <c r="Y258" s="40"/>
      <c r="Z258" s="40"/>
      <c r="AA258" s="40"/>
      <c r="AB258" s="40"/>
      <c r="AC258" s="40"/>
      <c r="AD258" s="40"/>
      <c r="AE258" s="40"/>
      <c r="AF258" s="40"/>
      <c r="AG258" s="40"/>
      <c r="AH258" s="40"/>
      <c r="AI258" s="40"/>
      <c r="AJ258" s="40"/>
      <c r="AK258" s="40"/>
    </row>
    <row r="259">
      <c r="A259" s="10"/>
      <c r="B259" s="10"/>
      <c r="C259" s="10"/>
      <c r="D259" s="10"/>
      <c r="E259" s="10"/>
      <c r="F259" s="12"/>
      <c r="G259" s="300"/>
      <c r="H259" s="10"/>
      <c r="I259" s="10"/>
      <c r="J259" s="10"/>
      <c r="K259" s="10"/>
      <c r="L259" s="12"/>
      <c r="M259" s="29" t="str">
        <f t="shared" si="1"/>
        <v/>
      </c>
      <c r="N259" s="31" t="str">
        <f>IFERROR(__xludf.DUMMYFUNCTION("IF(Account!$F259&lt;&gt;"""", VALUE(REGEXREPLACE($I259, ""\,"", ""."")), """")"),"")</f>
        <v/>
      </c>
      <c r="O259" s="33" t="str">
        <f>IF(Account!$F259&lt;&gt;"", DATEVALUE(MID($A259,4,3) &amp; LEFT($A259,3) &amp; RIGHT($A259,4)) + TIMEVALUE($B259), "")</f>
        <v/>
      </c>
      <c r="P259" s="34" t="str">
        <f>IF(Account!$F259&lt;&gt;"", DATEVALUE(MID($C259,4,3) &amp; LEFT($C259,3) &amp; RIGHT($C259,4)), "")</f>
        <v/>
      </c>
      <c r="Q259" s="35" t="str">
        <f t="array" ref="Q259">IF($R259&lt;&gt;"",IFERROR(INDEX(Investment!$A:$A,MATCH($R259,Investment!$H:$H,0))),)</f>
        <v/>
      </c>
      <c r="R259" s="36" t="str">
        <f t="array" ref="R259">IF(AND($Y259="change",$H259="EUR"),IF(AND($AA259="Crédit",$O259=$O260),$R260,IF(AND($AA259="Débit",$O259=$O258),$R258)),IF(OR(AND(OR($E259&lt;&gt;"",$M259=""),$N259&lt;&gt;0),$A259=""),IFERROR(INDEX(Investment!$H:$H,MATCH($E259,Investment!$F:$F,0))),IFERROR(INDEX($R260:$R1119,MATCH(SUBSTITUTE($I259,"-","",1),$K260:$K1119,0)),INDEX($R260:$R1119,MATCH($K259,$K260:$K1119,0)))))</f>
        <v/>
      </c>
      <c r="S259" s="35" t="str">
        <f t="shared" si="2"/>
        <v/>
      </c>
      <c r="T259" s="37" t="str">
        <f t="shared" si="3"/>
        <v/>
      </c>
      <c r="U259" s="38" t="str">
        <f t="shared" si="4"/>
        <v/>
      </c>
      <c r="V259" s="31" t="str">
        <f t="shared" si="5"/>
        <v/>
      </c>
      <c r="W259" s="39" t="str">
        <f>IFERROR(__xludf.DUMMYFUNCTION(" IF(Account!$F259&lt;&gt;"""", SPLIT(Account!$F259, "" ""), """")"),"")</f>
        <v/>
      </c>
      <c r="X259" s="40"/>
      <c r="Y259" s="40"/>
      <c r="Z259" s="40"/>
      <c r="AA259" s="40"/>
      <c r="AB259" s="40"/>
      <c r="AC259" s="40"/>
      <c r="AD259" s="40"/>
      <c r="AE259" s="40"/>
      <c r="AF259" s="40"/>
      <c r="AG259" s="40"/>
      <c r="AH259" s="40"/>
      <c r="AI259" s="40"/>
      <c r="AJ259" s="40"/>
      <c r="AK259" s="40"/>
    </row>
    <row r="260">
      <c r="A260" s="10"/>
      <c r="B260" s="10"/>
      <c r="C260" s="10"/>
      <c r="D260" s="10"/>
      <c r="E260" s="10"/>
      <c r="F260" s="12"/>
      <c r="G260" s="10"/>
      <c r="H260" s="10"/>
      <c r="I260" s="10"/>
      <c r="J260" s="10"/>
      <c r="K260" s="10"/>
      <c r="L260" s="12"/>
      <c r="M260" s="29" t="str">
        <f t="shared" si="1"/>
        <v/>
      </c>
      <c r="N260" s="31" t="str">
        <f>IFERROR(__xludf.DUMMYFUNCTION("IF(Account!$F260&lt;&gt;"""", VALUE(REGEXREPLACE($I260, ""\,"", ""."")), """")"),"")</f>
        <v/>
      </c>
      <c r="O260" s="33" t="str">
        <f>IF(Account!$F260&lt;&gt;"", DATEVALUE(MID($A260,4,3) &amp; LEFT($A260,3) &amp; RIGHT($A260,4)) + TIMEVALUE($B260), "")</f>
        <v/>
      </c>
      <c r="P260" s="34" t="str">
        <f>IF(Account!$F260&lt;&gt;"", DATEVALUE(MID($C260,4,3) &amp; LEFT($C260,3) &amp; RIGHT($C260,4)), "")</f>
        <v/>
      </c>
      <c r="Q260" s="35" t="str">
        <f t="array" ref="Q260">IF($R260&lt;&gt;"",IFERROR(INDEX(Investment!$A:$A,MATCH($R260,Investment!$H:$H,0))),)</f>
        <v/>
      </c>
      <c r="R260" s="36" t="str">
        <f t="array" ref="R260">IF(AND($Y260="change",$H260="EUR"),IF(AND($AA260="Crédit",$O260=$O261),$R261,IF(AND($AA260="Débit",$O260=$O259),$R259)),IF(OR(AND(OR($E260&lt;&gt;"",$M260=""),$N260&lt;&gt;0),$A260=""),IFERROR(INDEX(Investment!$H:$H,MATCH($E260,Investment!$F:$F,0))),IFERROR(INDEX($R261:$R1119,MATCH(SUBSTITUTE($I260,"-","",1),$K261:$K1119,0)),INDEX($R261:$R1119,MATCH($K260,$K261:$K1119,0)))))</f>
        <v/>
      </c>
      <c r="S260" s="35" t="str">
        <f t="shared" si="2"/>
        <v/>
      </c>
      <c r="T260" s="37" t="str">
        <f t="shared" si="3"/>
        <v/>
      </c>
      <c r="U260" s="38" t="str">
        <f t="shared" si="4"/>
        <v/>
      </c>
      <c r="V260" s="31" t="str">
        <f t="shared" si="5"/>
        <v/>
      </c>
      <c r="W260" s="39" t="str">
        <f>IFERROR(__xludf.DUMMYFUNCTION(" IF(Account!$F260&lt;&gt;"""", SPLIT(Account!$F260, "" ""), """")"),"")</f>
        <v/>
      </c>
      <c r="X260" s="40"/>
      <c r="Y260" s="40"/>
      <c r="Z260" s="40"/>
      <c r="AA260" s="40"/>
      <c r="AB260" s="40"/>
      <c r="AC260" s="40"/>
      <c r="AD260" s="40"/>
      <c r="AE260" s="40"/>
      <c r="AF260" s="40"/>
      <c r="AG260" s="40"/>
      <c r="AH260" s="40"/>
      <c r="AI260" s="40"/>
      <c r="AJ260" s="40"/>
      <c r="AK260" s="40"/>
    </row>
    <row r="261">
      <c r="A261" s="10"/>
      <c r="B261" s="10"/>
      <c r="C261" s="10"/>
      <c r="D261" s="10"/>
      <c r="E261" s="10"/>
      <c r="F261" s="12"/>
      <c r="G261" s="300"/>
      <c r="H261" s="10"/>
      <c r="I261" s="10"/>
      <c r="J261" s="10"/>
      <c r="K261" s="10"/>
      <c r="L261" s="12"/>
      <c r="M261" s="29" t="str">
        <f t="shared" si="1"/>
        <v/>
      </c>
      <c r="N261" s="31" t="str">
        <f>IFERROR(__xludf.DUMMYFUNCTION("IF(Account!$F261&lt;&gt;"""", VALUE(REGEXREPLACE($I261, ""\,"", ""."")), """")"),"")</f>
        <v/>
      </c>
      <c r="O261" s="33" t="str">
        <f>IF(Account!$F261&lt;&gt;"", DATEVALUE(MID($A261,4,3) &amp; LEFT($A261,3) &amp; RIGHT($A261,4)) + TIMEVALUE($B261), "")</f>
        <v/>
      </c>
      <c r="P261" s="34" t="str">
        <f>IF(Account!$F261&lt;&gt;"", DATEVALUE(MID($C261,4,3) &amp; LEFT($C261,3) &amp; RIGHT($C261,4)), "")</f>
        <v/>
      </c>
      <c r="Q261" s="35" t="str">
        <f t="array" ref="Q261">IF($R261&lt;&gt;"",IFERROR(INDEX(Investment!$A:$A,MATCH($R261,Investment!$H:$H,0))),)</f>
        <v/>
      </c>
      <c r="R261" s="36" t="str">
        <f t="array" ref="R261">IF(AND($Y261="change",$H261="EUR"),IF(AND($AA261="Crédit",$O261=$O262),$R262,IF(AND($AA261="Débit",$O261=$O260),$R260)),IF(OR(AND(OR($E261&lt;&gt;"",$M261=""),$N261&lt;&gt;0),$A261=""),IFERROR(INDEX(Investment!$H:$H,MATCH($E261,Investment!$F:$F,0))),IFERROR(INDEX($R262:$R1119,MATCH(SUBSTITUTE($I261,"-","",1),$K262:$K1119,0)),INDEX($R262:$R1119,MATCH($K261,$K262:$K1119,0)))))</f>
        <v/>
      </c>
      <c r="S261" s="35" t="str">
        <f t="shared" si="2"/>
        <v/>
      </c>
      <c r="T261" s="37" t="str">
        <f t="shared" si="3"/>
        <v/>
      </c>
      <c r="U261" s="38" t="str">
        <f t="shared" si="4"/>
        <v/>
      </c>
      <c r="V261" s="31" t="str">
        <f t="shared" si="5"/>
        <v/>
      </c>
      <c r="W261" s="39" t="str">
        <f>IFERROR(__xludf.DUMMYFUNCTION(" IF(Account!$F261&lt;&gt;"""", SPLIT(Account!$F261, "" ""), """")"),"")</f>
        <v/>
      </c>
      <c r="X261" s="40"/>
      <c r="Y261" s="40"/>
      <c r="Z261" s="40"/>
      <c r="AA261" s="40"/>
      <c r="AB261" s="40"/>
      <c r="AC261" s="40"/>
      <c r="AD261" s="40"/>
      <c r="AE261" s="40"/>
      <c r="AF261" s="40"/>
      <c r="AG261" s="40"/>
      <c r="AH261" s="40"/>
      <c r="AI261" s="40"/>
      <c r="AJ261" s="40"/>
      <c r="AK261" s="40"/>
    </row>
    <row r="262">
      <c r="A262" s="10"/>
      <c r="B262" s="10"/>
      <c r="C262" s="10"/>
      <c r="D262" s="10"/>
      <c r="E262" s="10"/>
      <c r="F262" s="12"/>
      <c r="G262" s="300"/>
      <c r="H262" s="10"/>
      <c r="I262" s="10"/>
      <c r="J262" s="10"/>
      <c r="K262" s="10"/>
      <c r="L262" s="12"/>
      <c r="M262" s="29" t="str">
        <f t="shared" si="1"/>
        <v/>
      </c>
      <c r="N262" s="31" t="str">
        <f>IFERROR(__xludf.DUMMYFUNCTION("IF(Account!$F262&lt;&gt;"""", VALUE(REGEXREPLACE($I262, ""\,"", ""."")), """")"),"")</f>
        <v/>
      </c>
      <c r="O262" s="33" t="str">
        <f>IF(Account!$F262&lt;&gt;"", DATEVALUE(MID($A262,4,3) &amp; LEFT($A262,3) &amp; RIGHT($A262,4)) + TIMEVALUE($B262), "")</f>
        <v/>
      </c>
      <c r="P262" s="34" t="str">
        <f>IF(Account!$F262&lt;&gt;"", DATEVALUE(MID($C262,4,3) &amp; LEFT($C262,3) &amp; RIGHT($C262,4)), "")</f>
        <v/>
      </c>
      <c r="Q262" s="35" t="str">
        <f t="array" ref="Q262">IF($R262&lt;&gt;"",IFERROR(INDEX(Investment!$A:$A,MATCH($R262,Investment!$H:$H,0))),)</f>
        <v/>
      </c>
      <c r="R262" s="36" t="str">
        <f t="array" ref="R262">IF(AND($Y262="change",$H262="EUR"),IF(AND($AA262="Crédit",$O262=$O263),$R263,IF(AND($AA262="Débit",$O262=$O261),$R261)),IF(OR(AND(OR($E262&lt;&gt;"",$M262=""),$N262&lt;&gt;0),$A262=""),IFERROR(INDEX(Investment!$H:$H,MATCH($E262,Investment!$F:$F,0))),IFERROR(INDEX($R263:$R1119,MATCH(SUBSTITUTE($I262,"-","",1),$K263:$K1119,0)),INDEX($R263:$R1119,MATCH($K262,$K263:$K1119,0)))))</f>
        <v/>
      </c>
      <c r="S262" s="35" t="str">
        <f t="shared" si="2"/>
        <v/>
      </c>
      <c r="T262" s="37" t="str">
        <f t="shared" si="3"/>
        <v/>
      </c>
      <c r="U262" s="38" t="str">
        <f t="shared" si="4"/>
        <v/>
      </c>
      <c r="V262" s="31" t="str">
        <f t="shared" si="5"/>
        <v/>
      </c>
      <c r="W262" s="39" t="str">
        <f>IFERROR(__xludf.DUMMYFUNCTION(" IF(Account!$F262&lt;&gt;"""", SPLIT(Account!$F262, "" ""), """")"),"")</f>
        <v/>
      </c>
      <c r="X262" s="40"/>
      <c r="Y262" s="40"/>
      <c r="Z262" s="40"/>
      <c r="AA262" s="40"/>
      <c r="AB262" s="40"/>
      <c r="AC262" s="40"/>
      <c r="AD262" s="40"/>
      <c r="AE262" s="40"/>
      <c r="AF262" s="40"/>
      <c r="AG262" s="40"/>
      <c r="AH262" s="40"/>
      <c r="AI262" s="40"/>
      <c r="AJ262" s="40"/>
      <c r="AK262" s="40"/>
    </row>
    <row r="263">
      <c r="A263" s="10"/>
      <c r="B263" s="10"/>
      <c r="C263" s="10"/>
      <c r="D263" s="10"/>
      <c r="E263" s="10"/>
      <c r="F263" s="12"/>
      <c r="G263" s="300"/>
      <c r="H263" s="10"/>
      <c r="I263" s="10"/>
      <c r="J263" s="10"/>
      <c r="K263" s="10"/>
      <c r="L263" s="12"/>
      <c r="M263" s="29" t="str">
        <f t="shared" si="1"/>
        <v/>
      </c>
      <c r="N263" s="31" t="str">
        <f>IFERROR(__xludf.DUMMYFUNCTION("IF(Account!$F263&lt;&gt;"""", VALUE(REGEXREPLACE($I263, ""\,"", ""."")), """")"),"")</f>
        <v/>
      </c>
      <c r="O263" s="33" t="str">
        <f>IF(Account!$F263&lt;&gt;"", DATEVALUE(MID($A263,4,3) &amp; LEFT($A263,3) &amp; RIGHT($A263,4)) + TIMEVALUE($B263), "")</f>
        <v/>
      </c>
      <c r="P263" s="34" t="str">
        <f>IF(Account!$F263&lt;&gt;"", DATEVALUE(MID($C263,4,3) &amp; LEFT($C263,3) &amp; RIGHT($C263,4)), "")</f>
        <v/>
      </c>
      <c r="Q263" s="35" t="str">
        <f t="array" ref="Q263">IF($R263&lt;&gt;"",IFERROR(INDEX(Investment!$A:$A,MATCH($R263,Investment!$H:$H,0))),)</f>
        <v/>
      </c>
      <c r="R263" s="36" t="str">
        <f t="array" ref="R263">IF(AND($Y263="change",$H263="EUR"),IF(AND($AA263="Crédit",$O263=$O264),$R264,IF(AND($AA263="Débit",$O263=$O262),$R262)),IF(OR(AND(OR($E263&lt;&gt;"",$M263=""),$N263&lt;&gt;0),$A263=""),IFERROR(INDEX(Investment!$H:$H,MATCH($E263,Investment!$F:$F,0))),IFERROR(INDEX($R264:$R1119,MATCH(SUBSTITUTE($I263,"-","",1),$K264:$K1119,0)),INDEX($R264:$R1119,MATCH($K263,$K264:$K1119,0)))))</f>
        <v/>
      </c>
      <c r="S263" s="35" t="str">
        <f t="shared" si="2"/>
        <v/>
      </c>
      <c r="T263" s="37" t="str">
        <f t="shared" si="3"/>
        <v/>
      </c>
      <c r="U263" s="38" t="str">
        <f t="shared" si="4"/>
        <v/>
      </c>
      <c r="V263" s="31" t="str">
        <f t="shared" si="5"/>
        <v/>
      </c>
      <c r="W263" s="39" t="str">
        <f>IFERROR(__xludf.DUMMYFUNCTION(" IF(Account!$F263&lt;&gt;"""", SPLIT(Account!$F263, "" ""), """")"),"")</f>
        <v/>
      </c>
      <c r="X263" s="40"/>
      <c r="Y263" s="40"/>
      <c r="Z263" s="40"/>
      <c r="AA263" s="40"/>
      <c r="AB263" s="40"/>
      <c r="AC263" s="40"/>
      <c r="AD263" s="40"/>
      <c r="AE263" s="40"/>
      <c r="AF263" s="40"/>
      <c r="AG263" s="40"/>
      <c r="AH263" s="40"/>
      <c r="AI263" s="40"/>
      <c r="AJ263" s="40"/>
      <c r="AK263" s="40"/>
    </row>
    <row r="264">
      <c r="A264" s="10"/>
      <c r="B264" s="10"/>
      <c r="C264" s="10"/>
      <c r="D264" s="10"/>
      <c r="E264" s="10"/>
      <c r="F264" s="12"/>
      <c r="G264" s="10"/>
      <c r="H264" s="10"/>
      <c r="I264" s="10"/>
      <c r="J264" s="10"/>
      <c r="K264" s="10"/>
      <c r="L264" s="12"/>
      <c r="M264" s="29" t="str">
        <f t="shared" si="1"/>
        <v/>
      </c>
      <c r="N264" s="31" t="str">
        <f>IFERROR(__xludf.DUMMYFUNCTION("IF(Account!$F264&lt;&gt;"""", VALUE(REGEXREPLACE($I264, ""\,"", ""."")), """")"),"")</f>
        <v/>
      </c>
      <c r="O264" s="33" t="str">
        <f>IF(Account!$F264&lt;&gt;"", DATEVALUE(MID($A264,4,3) &amp; LEFT($A264,3) &amp; RIGHT($A264,4)) + TIMEVALUE($B264), "")</f>
        <v/>
      </c>
      <c r="P264" s="34" t="str">
        <f>IF(Account!$F264&lt;&gt;"", DATEVALUE(MID($C264,4,3) &amp; LEFT($C264,3) &amp; RIGHT($C264,4)), "")</f>
        <v/>
      </c>
      <c r="Q264" s="35" t="str">
        <f t="array" ref="Q264">IF($R264&lt;&gt;"",IFERROR(INDEX(Investment!$A:$A,MATCH($R264,Investment!$H:$H,0))),)</f>
        <v/>
      </c>
      <c r="R264" s="36" t="str">
        <f t="array" ref="R264">IF(AND($Y264="change",$H264="EUR"),IF(AND($AA264="Crédit",$O264=$O265),$R265,IF(AND($AA264="Débit",$O264=$O263),$R263)),IF(OR(AND(OR($E264&lt;&gt;"",$M264=""),$N264&lt;&gt;0),$A264=""),IFERROR(INDEX(Investment!$H:$H,MATCH($E264,Investment!$F:$F,0))),IFERROR(INDEX($R265:$R1119,MATCH(SUBSTITUTE($I264,"-","",1),$K265:$K1119,0)),INDEX($R265:$R1119,MATCH($K264,$K265:$K1119,0)))))</f>
        <v/>
      </c>
      <c r="S264" s="35" t="str">
        <f t="shared" si="2"/>
        <v/>
      </c>
      <c r="T264" s="37" t="str">
        <f t="shared" si="3"/>
        <v/>
      </c>
      <c r="U264" s="38" t="str">
        <f t="shared" si="4"/>
        <v/>
      </c>
      <c r="V264" s="31" t="str">
        <f t="shared" si="5"/>
        <v/>
      </c>
      <c r="W264" s="39" t="str">
        <f>IFERROR(__xludf.DUMMYFUNCTION(" IF(Account!$F264&lt;&gt;"""", SPLIT(Account!$F264, "" ""), """")"),"")</f>
        <v/>
      </c>
      <c r="X264" s="40"/>
      <c r="Y264" s="40"/>
      <c r="Z264" s="40"/>
      <c r="AA264" s="40"/>
      <c r="AB264" s="40"/>
      <c r="AC264" s="40"/>
      <c r="AD264" s="40"/>
      <c r="AE264" s="40"/>
      <c r="AF264" s="40"/>
      <c r="AG264" s="40"/>
      <c r="AH264" s="40"/>
      <c r="AI264" s="40"/>
      <c r="AJ264" s="40"/>
      <c r="AK264" s="40"/>
    </row>
    <row r="265">
      <c r="A265" s="10"/>
      <c r="B265" s="10"/>
      <c r="C265" s="10"/>
      <c r="D265" s="10"/>
      <c r="E265" s="10"/>
      <c r="F265" s="12"/>
      <c r="G265" s="300"/>
      <c r="H265" s="10"/>
      <c r="I265" s="10"/>
      <c r="J265" s="10"/>
      <c r="K265" s="10"/>
      <c r="L265" s="12"/>
      <c r="M265" s="29" t="str">
        <f t="shared" si="1"/>
        <v/>
      </c>
      <c r="N265" s="31" t="str">
        <f>IFERROR(__xludf.DUMMYFUNCTION("IF(Account!$F265&lt;&gt;"""", VALUE(REGEXREPLACE($I265, ""\,"", ""."")), """")"),"")</f>
        <v/>
      </c>
      <c r="O265" s="33" t="str">
        <f>IF(Account!$F265&lt;&gt;"", DATEVALUE(MID($A265,4,3) &amp; LEFT($A265,3) &amp; RIGHT($A265,4)) + TIMEVALUE($B265), "")</f>
        <v/>
      </c>
      <c r="P265" s="34" t="str">
        <f>IF(Account!$F265&lt;&gt;"", DATEVALUE(MID($C265,4,3) &amp; LEFT($C265,3) &amp; RIGHT($C265,4)), "")</f>
        <v/>
      </c>
      <c r="Q265" s="35" t="str">
        <f t="array" ref="Q265">IF($R265&lt;&gt;"",IFERROR(INDEX(Investment!$A:$A,MATCH($R265,Investment!$H:$H,0))),)</f>
        <v/>
      </c>
      <c r="R265" s="36" t="str">
        <f t="array" ref="R265">IF(AND($Y265="change",$H265="EUR"),IF(AND($AA265="Crédit",$O265=$O266),$R266,IF(AND($AA265="Débit",$O265=$O264),$R264)),IF(OR(AND(OR($E265&lt;&gt;"",$M265=""),$N265&lt;&gt;0),$A265=""),IFERROR(INDEX(Investment!$H:$H,MATCH($E265,Investment!$F:$F,0))),IFERROR(INDEX($R266:$R1119,MATCH(SUBSTITUTE($I265,"-","",1),$K266:$K1119,0)),INDEX($R266:$R1119,MATCH($K265,$K266:$K1119,0)))))</f>
        <v/>
      </c>
      <c r="S265" s="35" t="str">
        <f t="shared" si="2"/>
        <v/>
      </c>
      <c r="T265" s="37" t="str">
        <f t="shared" si="3"/>
        <v/>
      </c>
      <c r="U265" s="38" t="str">
        <f t="shared" si="4"/>
        <v/>
      </c>
      <c r="V265" s="31" t="str">
        <f t="shared" si="5"/>
        <v/>
      </c>
      <c r="W265" s="39" t="str">
        <f>IFERROR(__xludf.DUMMYFUNCTION(" IF(Account!$F265&lt;&gt;"""", SPLIT(Account!$F265, "" ""), """")"),"")</f>
        <v/>
      </c>
      <c r="X265" s="40"/>
      <c r="Y265" s="40"/>
      <c r="Z265" s="40"/>
      <c r="AA265" s="40"/>
      <c r="AB265" s="40"/>
      <c r="AC265" s="40"/>
      <c r="AD265" s="40"/>
      <c r="AE265" s="40"/>
      <c r="AF265" s="40"/>
      <c r="AG265" s="40"/>
      <c r="AH265" s="40"/>
      <c r="AI265" s="40"/>
      <c r="AJ265" s="40"/>
      <c r="AK265" s="40"/>
    </row>
    <row r="266">
      <c r="A266" s="10"/>
      <c r="B266" s="10"/>
      <c r="C266" s="10"/>
      <c r="D266" s="10"/>
      <c r="E266" s="10"/>
      <c r="F266" s="12"/>
      <c r="G266" s="300"/>
      <c r="H266" s="10"/>
      <c r="I266" s="10"/>
      <c r="J266" s="10"/>
      <c r="K266" s="10"/>
      <c r="L266" s="12"/>
      <c r="M266" s="29" t="str">
        <f t="shared" si="1"/>
        <v/>
      </c>
      <c r="N266" s="31" t="str">
        <f>IFERROR(__xludf.DUMMYFUNCTION("IF(Account!$F266&lt;&gt;"""", VALUE(REGEXREPLACE($I266, ""\,"", ""."")), """")"),"")</f>
        <v/>
      </c>
      <c r="O266" s="33" t="str">
        <f>IF(Account!$F266&lt;&gt;"", DATEVALUE(MID($A266,4,3) &amp; LEFT($A266,3) &amp; RIGHT($A266,4)) + TIMEVALUE($B266), "")</f>
        <v/>
      </c>
      <c r="P266" s="34" t="str">
        <f>IF(Account!$F266&lt;&gt;"", DATEVALUE(MID($C266,4,3) &amp; LEFT($C266,3) &amp; RIGHT($C266,4)), "")</f>
        <v/>
      </c>
      <c r="Q266" s="35" t="str">
        <f t="array" ref="Q266">IF($R266&lt;&gt;"",IFERROR(INDEX(Investment!$A:$A,MATCH($R266,Investment!$H:$H,0))),)</f>
        <v/>
      </c>
      <c r="R266" s="36" t="str">
        <f t="array" ref="R266">IF(AND($Y266="change",$H266="EUR"),IF(AND($AA266="Crédit",$O266=$O267),$R267,IF(AND($AA266="Débit",$O266=$O265),$R265)),IF(OR(AND(OR($E266&lt;&gt;"",$M266=""),$N266&lt;&gt;0),$A266=""),IFERROR(INDEX(Investment!$H:$H,MATCH($E266,Investment!$F:$F,0))),IFERROR(INDEX($R267:$R1119,MATCH(SUBSTITUTE($I266,"-","",1),$K267:$K1119,0)),INDEX($R267:$R1119,MATCH($K266,$K267:$K1119,0)))))</f>
        <v/>
      </c>
      <c r="S266" s="35" t="str">
        <f t="shared" si="2"/>
        <v/>
      </c>
      <c r="T266" s="37" t="str">
        <f t="shared" si="3"/>
        <v/>
      </c>
      <c r="U266" s="38" t="str">
        <f t="shared" si="4"/>
        <v/>
      </c>
      <c r="V266" s="31" t="str">
        <f t="shared" si="5"/>
        <v/>
      </c>
      <c r="W266" s="39" t="str">
        <f>IFERROR(__xludf.DUMMYFUNCTION(" IF(Account!$F266&lt;&gt;"""", SPLIT(Account!$F266, "" ""), """")"),"")</f>
        <v/>
      </c>
      <c r="X266" s="40"/>
      <c r="Y266" s="40"/>
      <c r="Z266" s="40"/>
      <c r="AA266" s="40"/>
      <c r="AB266" s="40"/>
      <c r="AC266" s="40"/>
      <c r="AD266" s="40"/>
      <c r="AE266" s="40"/>
      <c r="AF266" s="40"/>
      <c r="AG266" s="40"/>
      <c r="AH266" s="40"/>
      <c r="AI266" s="40"/>
      <c r="AJ266" s="40"/>
      <c r="AK266" s="40"/>
    </row>
    <row r="267">
      <c r="A267" s="10"/>
      <c r="B267" s="10"/>
      <c r="C267" s="10"/>
      <c r="D267" s="10"/>
      <c r="E267" s="10"/>
      <c r="F267" s="12"/>
      <c r="G267" s="300"/>
      <c r="H267" s="10"/>
      <c r="I267" s="10"/>
      <c r="J267" s="10"/>
      <c r="K267" s="10"/>
      <c r="L267" s="12"/>
      <c r="M267" s="29" t="str">
        <f t="shared" si="1"/>
        <v/>
      </c>
      <c r="N267" s="31" t="str">
        <f>IFERROR(__xludf.DUMMYFUNCTION("IF(Account!$F267&lt;&gt;"""", VALUE(REGEXREPLACE($I267, ""\,"", ""."")), """")"),"")</f>
        <v/>
      </c>
      <c r="O267" s="33" t="str">
        <f>IF(Account!$F267&lt;&gt;"", DATEVALUE(MID($A267,4,3) &amp; LEFT($A267,3) &amp; RIGHT($A267,4)) + TIMEVALUE($B267), "")</f>
        <v/>
      </c>
      <c r="P267" s="34" t="str">
        <f>IF(Account!$F267&lt;&gt;"", DATEVALUE(MID($C267,4,3) &amp; LEFT($C267,3) &amp; RIGHT($C267,4)), "")</f>
        <v/>
      </c>
      <c r="Q267" s="35" t="str">
        <f t="array" ref="Q267">IF($R267&lt;&gt;"",IFERROR(INDEX(Investment!$A:$A,MATCH($R267,Investment!$H:$H,0))),)</f>
        <v/>
      </c>
      <c r="R267" s="36" t="str">
        <f t="array" ref="R267">IF(AND($Y267="change",$H267="EUR"),IF(AND($AA267="Crédit",$O267=$O268),$R268,IF(AND($AA267="Débit",$O267=$O266),$R266)),IF(OR(AND(OR($E267&lt;&gt;"",$M267=""),$N267&lt;&gt;0),$A267=""),IFERROR(INDEX(Investment!$H:$H,MATCH($E267,Investment!$F:$F,0))),IFERROR(INDEX($R268:$R1119,MATCH(SUBSTITUTE($I267,"-","",1),$K268:$K1119,0)),INDEX($R268:$R1119,MATCH($K267,$K268:$K1119,0)))))</f>
        <v/>
      </c>
      <c r="S267" s="35" t="str">
        <f t="shared" si="2"/>
        <v/>
      </c>
      <c r="T267" s="37" t="str">
        <f t="shared" si="3"/>
        <v/>
      </c>
      <c r="U267" s="38" t="str">
        <f t="shared" si="4"/>
        <v/>
      </c>
      <c r="V267" s="31" t="str">
        <f t="shared" si="5"/>
        <v/>
      </c>
      <c r="W267" s="39" t="str">
        <f>IFERROR(__xludf.DUMMYFUNCTION(" IF(Account!$F267&lt;&gt;"""", SPLIT(Account!$F267, "" ""), """")"),"")</f>
        <v/>
      </c>
      <c r="X267" s="40"/>
      <c r="Y267" s="40"/>
      <c r="Z267" s="40"/>
      <c r="AA267" s="40"/>
      <c r="AB267" s="40"/>
      <c r="AC267" s="40"/>
      <c r="AD267" s="40"/>
      <c r="AE267" s="40"/>
      <c r="AF267" s="40"/>
      <c r="AG267" s="40"/>
      <c r="AH267" s="40"/>
      <c r="AI267" s="40"/>
      <c r="AJ267" s="40"/>
      <c r="AK267" s="40"/>
    </row>
    <row r="268">
      <c r="A268" s="10"/>
      <c r="B268" s="10"/>
      <c r="C268" s="10"/>
      <c r="D268" s="10"/>
      <c r="E268" s="10"/>
      <c r="F268" s="12"/>
      <c r="G268" s="10"/>
      <c r="H268" s="10"/>
      <c r="I268" s="10"/>
      <c r="J268" s="10"/>
      <c r="K268" s="10"/>
      <c r="L268" s="12"/>
      <c r="M268" s="29" t="str">
        <f t="shared" si="1"/>
        <v/>
      </c>
      <c r="N268" s="31" t="str">
        <f>IFERROR(__xludf.DUMMYFUNCTION("IF(Account!$F268&lt;&gt;"""", VALUE(REGEXREPLACE($I268, ""\,"", ""."")), """")"),"")</f>
        <v/>
      </c>
      <c r="O268" s="33" t="str">
        <f>IF(Account!$F268&lt;&gt;"", DATEVALUE(MID($A268,4,3) &amp; LEFT($A268,3) &amp; RIGHT($A268,4)) + TIMEVALUE($B268), "")</f>
        <v/>
      </c>
      <c r="P268" s="34" t="str">
        <f>IF(Account!$F268&lt;&gt;"", DATEVALUE(MID($C268,4,3) &amp; LEFT($C268,3) &amp; RIGHT($C268,4)), "")</f>
        <v/>
      </c>
      <c r="Q268" s="35" t="str">
        <f t="array" ref="Q268">IF($R268&lt;&gt;"",IFERROR(INDEX(Investment!$A:$A,MATCH($R268,Investment!$H:$H,0))),)</f>
        <v/>
      </c>
      <c r="R268" s="36" t="str">
        <f t="array" ref="R268">IF(AND($Y268="change",$H268="EUR"),IF(AND($AA268="Crédit",$O268=$O269),$R269,IF(AND($AA268="Débit",$O268=$O267),$R267)),IF(OR(AND(OR($E268&lt;&gt;"",$M268=""),$N268&lt;&gt;0),$A268=""),IFERROR(INDEX(Investment!$H:$H,MATCH($E268,Investment!$F:$F,0))),IFERROR(INDEX($R269:$R1119,MATCH(SUBSTITUTE($I268,"-","",1),$K269:$K1119,0)),INDEX($R269:$R1119,MATCH($K268,$K269:$K1119,0)))))</f>
        <v/>
      </c>
      <c r="S268" s="35" t="str">
        <f t="shared" si="2"/>
        <v/>
      </c>
      <c r="T268" s="37" t="str">
        <f t="shared" si="3"/>
        <v/>
      </c>
      <c r="U268" s="38" t="str">
        <f t="shared" si="4"/>
        <v/>
      </c>
      <c r="V268" s="31" t="str">
        <f t="shared" si="5"/>
        <v/>
      </c>
      <c r="W268" s="39" t="str">
        <f>IFERROR(__xludf.DUMMYFUNCTION(" IF(Account!$F268&lt;&gt;"""", SPLIT(Account!$F268, "" ""), """")"),"")</f>
        <v/>
      </c>
      <c r="X268" s="40"/>
      <c r="Y268" s="40"/>
      <c r="Z268" s="40"/>
      <c r="AA268" s="40"/>
      <c r="AB268" s="40"/>
      <c r="AC268" s="40"/>
      <c r="AD268" s="40"/>
      <c r="AE268" s="40"/>
      <c r="AF268" s="40"/>
      <c r="AG268" s="40"/>
      <c r="AH268" s="40"/>
      <c r="AI268" s="40"/>
      <c r="AJ268" s="40"/>
      <c r="AK268" s="40"/>
    </row>
    <row r="269">
      <c r="A269" s="10"/>
      <c r="B269" s="10"/>
      <c r="C269" s="10"/>
      <c r="D269" s="10"/>
      <c r="E269" s="10"/>
      <c r="F269" s="12"/>
      <c r="G269" s="300"/>
      <c r="H269" s="10"/>
      <c r="I269" s="10"/>
      <c r="J269" s="10"/>
      <c r="K269" s="10"/>
      <c r="L269" s="12"/>
      <c r="M269" s="29" t="str">
        <f t="shared" si="1"/>
        <v/>
      </c>
      <c r="N269" s="31" t="str">
        <f>IFERROR(__xludf.DUMMYFUNCTION("IF(Account!$F269&lt;&gt;"""", VALUE(REGEXREPLACE($I269, ""\,"", ""."")), """")"),"")</f>
        <v/>
      </c>
      <c r="O269" s="33" t="str">
        <f>IF(Account!$F269&lt;&gt;"", DATEVALUE(MID($A269,4,3) &amp; LEFT($A269,3) &amp; RIGHT($A269,4)) + TIMEVALUE($B269), "")</f>
        <v/>
      </c>
      <c r="P269" s="34" t="str">
        <f>IF(Account!$F269&lt;&gt;"", DATEVALUE(MID($C269,4,3) &amp; LEFT($C269,3) &amp; RIGHT($C269,4)), "")</f>
        <v/>
      </c>
      <c r="Q269" s="35" t="str">
        <f t="array" ref="Q269">IF($R269&lt;&gt;"",IFERROR(INDEX(Investment!$A:$A,MATCH($R269,Investment!$H:$H,0))),)</f>
        <v/>
      </c>
      <c r="R269" s="36" t="str">
        <f t="array" ref="R269">IF(AND($Y269="change",$H269="EUR"),IF(AND($AA269="Crédit",$O269=$O270),$R270,IF(AND($AA269="Débit",$O269=$O268),$R268)),IF(OR(AND(OR($E269&lt;&gt;"",$M269=""),$N269&lt;&gt;0),$A269=""),IFERROR(INDEX(Investment!$H:$H,MATCH($E269,Investment!$F:$F,0))),IFERROR(INDEX($R270:$R1119,MATCH(SUBSTITUTE($I269,"-","",1),$K270:$K1119,0)),INDEX($R270:$R1119,MATCH($K269,$K270:$K1119,0)))))</f>
        <v/>
      </c>
      <c r="S269" s="35" t="str">
        <f t="shared" si="2"/>
        <v/>
      </c>
      <c r="T269" s="37" t="str">
        <f t="shared" si="3"/>
        <v/>
      </c>
      <c r="U269" s="38" t="str">
        <f t="shared" si="4"/>
        <v/>
      </c>
      <c r="V269" s="31" t="str">
        <f t="shared" si="5"/>
        <v/>
      </c>
      <c r="W269" s="39" t="str">
        <f>IFERROR(__xludf.DUMMYFUNCTION(" IF(Account!$F269&lt;&gt;"""", SPLIT(Account!$F269, "" ""), """")"),"")</f>
        <v/>
      </c>
      <c r="X269" s="40"/>
      <c r="Y269" s="40"/>
      <c r="Z269" s="40"/>
      <c r="AA269" s="40"/>
      <c r="AB269" s="40"/>
      <c r="AC269" s="40"/>
      <c r="AD269" s="40"/>
      <c r="AE269" s="40"/>
      <c r="AF269" s="40"/>
      <c r="AG269" s="40"/>
      <c r="AH269" s="40"/>
      <c r="AI269" s="40"/>
      <c r="AJ269" s="40"/>
      <c r="AK269" s="40"/>
    </row>
    <row r="270">
      <c r="A270" s="10"/>
      <c r="B270" s="10"/>
      <c r="C270" s="10"/>
      <c r="D270" s="10"/>
      <c r="E270" s="10"/>
      <c r="F270" s="12"/>
      <c r="G270" s="10"/>
      <c r="H270" s="10"/>
      <c r="I270" s="10"/>
      <c r="J270" s="10"/>
      <c r="K270" s="10"/>
      <c r="L270" s="12"/>
      <c r="M270" s="29" t="str">
        <f t="shared" si="1"/>
        <v/>
      </c>
      <c r="N270" s="31" t="str">
        <f>IFERROR(__xludf.DUMMYFUNCTION("IF(Account!$F270&lt;&gt;"""", VALUE(REGEXREPLACE($I270, ""\,"", ""."")), """")"),"")</f>
        <v/>
      </c>
      <c r="O270" s="33" t="str">
        <f>IF(Account!$F270&lt;&gt;"", DATEVALUE(MID($A270,4,3) &amp; LEFT($A270,3) &amp; RIGHT($A270,4)) + TIMEVALUE($B270), "")</f>
        <v/>
      </c>
      <c r="P270" s="34" t="str">
        <f>IF(Account!$F270&lt;&gt;"", DATEVALUE(MID($C270,4,3) &amp; LEFT($C270,3) &amp; RIGHT($C270,4)), "")</f>
        <v/>
      </c>
      <c r="Q270" s="35" t="str">
        <f t="array" ref="Q270">IF($R270&lt;&gt;"",IFERROR(INDEX(Investment!$A:$A,MATCH($R270,Investment!$H:$H,0))),)</f>
        <v/>
      </c>
      <c r="R270" s="36" t="str">
        <f t="array" ref="R270">IF(AND($Y270="change",$H270="EUR"),IF(AND($AA270="Crédit",$O270=$O271),$R271,IF(AND($AA270="Débit",$O270=$O269),$R269)),IF(OR(AND(OR($E270&lt;&gt;"",$M270=""),$N270&lt;&gt;0),$A270=""),IFERROR(INDEX(Investment!$H:$H,MATCH($E270,Investment!$F:$F,0))),IFERROR(INDEX($R271:$R1119,MATCH(SUBSTITUTE($I270,"-","",1),$K271:$K1119,0)),INDEX($R271:$R1119,MATCH($K270,$K271:$K1119,0)))))</f>
        <v/>
      </c>
      <c r="S270" s="35" t="str">
        <f t="shared" si="2"/>
        <v/>
      </c>
      <c r="T270" s="37" t="str">
        <f t="shared" si="3"/>
        <v/>
      </c>
      <c r="U270" s="38" t="str">
        <f t="shared" si="4"/>
        <v/>
      </c>
      <c r="V270" s="31" t="str">
        <f t="shared" si="5"/>
        <v/>
      </c>
      <c r="W270" s="39" t="str">
        <f>IFERROR(__xludf.DUMMYFUNCTION(" IF(Account!$F270&lt;&gt;"""", SPLIT(Account!$F270, "" ""), """")"),"")</f>
        <v/>
      </c>
      <c r="X270" s="40"/>
      <c r="Y270" s="40"/>
      <c r="Z270" s="40"/>
      <c r="AA270" s="40"/>
      <c r="AB270" s="40"/>
      <c r="AC270" s="40"/>
      <c r="AD270" s="40"/>
      <c r="AE270" s="40"/>
      <c r="AF270" s="40"/>
      <c r="AG270" s="40"/>
      <c r="AH270" s="40"/>
      <c r="AI270" s="40"/>
      <c r="AJ270" s="40"/>
      <c r="AK270" s="40"/>
    </row>
    <row r="271">
      <c r="A271" s="10"/>
      <c r="B271" s="10"/>
      <c r="C271" s="10"/>
      <c r="D271" s="10"/>
      <c r="E271" s="10"/>
      <c r="F271" s="12"/>
      <c r="G271" s="300"/>
      <c r="H271" s="10"/>
      <c r="I271" s="10"/>
      <c r="J271" s="10"/>
      <c r="K271" s="10"/>
      <c r="L271" s="12"/>
      <c r="M271" s="29" t="str">
        <f t="shared" si="1"/>
        <v/>
      </c>
      <c r="N271" s="31" t="str">
        <f>IFERROR(__xludf.DUMMYFUNCTION("IF(Account!$F271&lt;&gt;"""", VALUE(REGEXREPLACE($I271, ""\,"", ""."")), """")"),"")</f>
        <v/>
      </c>
      <c r="O271" s="33" t="str">
        <f>IF(Account!$F271&lt;&gt;"", DATEVALUE(MID($A271,4,3) &amp; LEFT($A271,3) &amp; RIGHT($A271,4)) + TIMEVALUE($B271), "")</f>
        <v/>
      </c>
      <c r="P271" s="34" t="str">
        <f>IF(Account!$F271&lt;&gt;"", DATEVALUE(MID($C271,4,3) &amp; LEFT($C271,3) &amp; RIGHT($C271,4)), "")</f>
        <v/>
      </c>
      <c r="Q271" s="35" t="str">
        <f t="array" ref="Q271">IF($R271&lt;&gt;"",IFERROR(INDEX(Investment!$A:$A,MATCH($R271,Investment!$H:$H,0))),)</f>
        <v/>
      </c>
      <c r="R271" s="36" t="str">
        <f t="array" ref="R271">IF(AND($Y271="change",$H271="EUR"),IF(AND($AA271="Crédit",$O271=$O272),$R272,IF(AND($AA271="Débit",$O271=$O270),$R270)),IF(OR(AND(OR($E271&lt;&gt;"",$M271=""),$N271&lt;&gt;0),$A271=""),IFERROR(INDEX(Investment!$H:$H,MATCH($E271,Investment!$F:$F,0))),IFERROR(INDEX($R272:$R1119,MATCH(SUBSTITUTE($I271,"-","",1),$K272:$K1119,0)),INDEX($R272:$R1119,MATCH($K271,$K272:$K1119,0)))))</f>
        <v/>
      </c>
      <c r="S271" s="35" t="str">
        <f t="shared" si="2"/>
        <v/>
      </c>
      <c r="T271" s="37" t="str">
        <f t="shared" si="3"/>
        <v/>
      </c>
      <c r="U271" s="38" t="str">
        <f t="shared" si="4"/>
        <v/>
      </c>
      <c r="V271" s="31" t="str">
        <f t="shared" si="5"/>
        <v/>
      </c>
      <c r="W271" s="39" t="str">
        <f>IFERROR(__xludf.DUMMYFUNCTION(" IF(Account!$F271&lt;&gt;"""", SPLIT(Account!$F271, "" ""), """")"),"")</f>
        <v/>
      </c>
      <c r="X271" s="40"/>
      <c r="Y271" s="40"/>
      <c r="Z271" s="40"/>
      <c r="AA271" s="40"/>
      <c r="AB271" s="40"/>
      <c r="AC271" s="40"/>
      <c r="AD271" s="40"/>
      <c r="AE271" s="40"/>
      <c r="AF271" s="40"/>
      <c r="AG271" s="40"/>
      <c r="AH271" s="40"/>
      <c r="AI271" s="40"/>
      <c r="AJ271" s="40"/>
      <c r="AK271" s="40"/>
    </row>
    <row r="272">
      <c r="A272" s="10"/>
      <c r="B272" s="10"/>
      <c r="C272" s="10"/>
      <c r="D272" s="10"/>
      <c r="E272" s="10"/>
      <c r="F272" s="12"/>
      <c r="G272" s="300"/>
      <c r="H272" s="10"/>
      <c r="I272" s="10"/>
      <c r="J272" s="10"/>
      <c r="K272" s="10"/>
      <c r="L272" s="12"/>
      <c r="M272" s="29" t="str">
        <f t="shared" si="1"/>
        <v/>
      </c>
      <c r="N272" s="31" t="str">
        <f>IFERROR(__xludf.DUMMYFUNCTION("IF(Account!$F272&lt;&gt;"""", VALUE(REGEXREPLACE($I272, ""\,"", ""."")), """")"),"")</f>
        <v/>
      </c>
      <c r="O272" s="33" t="str">
        <f>IF(Account!$F272&lt;&gt;"", DATEVALUE(MID($A272,4,3) &amp; LEFT($A272,3) &amp; RIGHT($A272,4)) + TIMEVALUE($B272), "")</f>
        <v/>
      </c>
      <c r="P272" s="34" t="str">
        <f>IF(Account!$F272&lt;&gt;"", DATEVALUE(MID($C272,4,3) &amp; LEFT($C272,3) &amp; RIGHT($C272,4)), "")</f>
        <v/>
      </c>
      <c r="Q272" s="35" t="str">
        <f t="array" ref="Q272">IF($R272&lt;&gt;"",IFERROR(INDEX(Investment!$A:$A,MATCH($R272,Investment!$H:$H,0))),)</f>
        <v/>
      </c>
      <c r="R272" s="36" t="str">
        <f t="array" ref="R272">IF(AND($Y272="change",$H272="EUR"),IF(AND($AA272="Crédit",$O272=$O273),$R273,IF(AND($AA272="Débit",$O272=$O271),$R271)),IF(OR(AND(OR($E272&lt;&gt;"",$M272=""),$N272&lt;&gt;0),$A272=""),IFERROR(INDEX(Investment!$H:$H,MATCH($E272,Investment!$F:$F,0))),IFERROR(INDEX($R273:$R1119,MATCH(SUBSTITUTE($I272,"-","",1),$K273:$K1119,0)),INDEX($R273:$R1119,MATCH($K272,$K273:$K1119,0)))))</f>
        <v/>
      </c>
      <c r="S272" s="35" t="str">
        <f t="shared" si="2"/>
        <v/>
      </c>
      <c r="T272" s="37" t="str">
        <f t="shared" si="3"/>
        <v/>
      </c>
      <c r="U272" s="38" t="str">
        <f t="shared" si="4"/>
        <v/>
      </c>
      <c r="V272" s="31" t="str">
        <f t="shared" si="5"/>
        <v/>
      </c>
      <c r="W272" s="39" t="str">
        <f>IFERROR(__xludf.DUMMYFUNCTION(" IF(Account!$F272&lt;&gt;"""", SPLIT(Account!$F272, "" ""), """")"),"")</f>
        <v/>
      </c>
      <c r="X272" s="40"/>
      <c r="Y272" s="40"/>
      <c r="Z272" s="40"/>
      <c r="AA272" s="40"/>
      <c r="AB272" s="40"/>
      <c r="AC272" s="40"/>
      <c r="AD272" s="40"/>
      <c r="AE272" s="40"/>
      <c r="AF272" s="40"/>
      <c r="AG272" s="40"/>
      <c r="AH272" s="40"/>
      <c r="AI272" s="40"/>
      <c r="AJ272" s="40"/>
      <c r="AK272" s="40"/>
    </row>
    <row r="273">
      <c r="A273" s="10"/>
      <c r="B273" s="10"/>
      <c r="C273" s="10"/>
      <c r="D273" s="10"/>
      <c r="E273" s="10"/>
      <c r="F273" s="12"/>
      <c r="G273" s="300"/>
      <c r="H273" s="10"/>
      <c r="I273" s="10"/>
      <c r="J273" s="10"/>
      <c r="K273" s="10"/>
      <c r="L273" s="12"/>
      <c r="M273" s="29" t="str">
        <f t="shared" si="1"/>
        <v/>
      </c>
      <c r="N273" s="31" t="str">
        <f>IFERROR(__xludf.DUMMYFUNCTION("IF(Account!$F273&lt;&gt;"""", VALUE(REGEXREPLACE($I273, ""\,"", ""."")), """")"),"")</f>
        <v/>
      </c>
      <c r="O273" s="33" t="str">
        <f>IF(Account!$F273&lt;&gt;"", DATEVALUE(MID($A273,4,3) &amp; LEFT($A273,3) &amp; RIGHT($A273,4)) + TIMEVALUE($B273), "")</f>
        <v/>
      </c>
      <c r="P273" s="34" t="str">
        <f>IF(Account!$F273&lt;&gt;"", DATEVALUE(MID($C273,4,3) &amp; LEFT($C273,3) &amp; RIGHT($C273,4)), "")</f>
        <v/>
      </c>
      <c r="Q273" s="35" t="str">
        <f t="array" ref="Q273">IF($R273&lt;&gt;"",IFERROR(INDEX(Investment!$A:$A,MATCH($R273,Investment!$H:$H,0))),)</f>
        <v/>
      </c>
      <c r="R273" s="36" t="str">
        <f t="array" ref="R273">IF(AND($Y273="change",$H273="EUR"),IF(AND($AA273="Crédit",$O273=$O274),$R274,IF(AND($AA273="Débit",$O273=$O272),$R272)),IF(OR(AND(OR($E273&lt;&gt;"",$M273=""),$N273&lt;&gt;0),$A273=""),IFERROR(INDEX(Investment!$H:$H,MATCH($E273,Investment!$F:$F,0))),IFERROR(INDEX($R274:$R1119,MATCH(SUBSTITUTE($I273,"-","",1),$K274:$K1119,0)),INDEX($R274:$R1119,MATCH($K273,$K274:$K1119,0)))))</f>
        <v/>
      </c>
      <c r="S273" s="35" t="str">
        <f t="shared" si="2"/>
        <v/>
      </c>
      <c r="T273" s="37" t="str">
        <f t="shared" si="3"/>
        <v/>
      </c>
      <c r="U273" s="38" t="str">
        <f t="shared" si="4"/>
        <v/>
      </c>
      <c r="V273" s="31" t="str">
        <f t="shared" si="5"/>
        <v/>
      </c>
      <c r="W273" s="39" t="str">
        <f>IFERROR(__xludf.DUMMYFUNCTION(" IF(Account!$F273&lt;&gt;"""", SPLIT(Account!$F273, "" ""), """")"),"")</f>
        <v/>
      </c>
      <c r="X273" s="40"/>
      <c r="Y273" s="40"/>
      <c r="Z273" s="40"/>
      <c r="AA273" s="40"/>
      <c r="AB273" s="40"/>
      <c r="AC273" s="40"/>
      <c r="AD273" s="40"/>
      <c r="AE273" s="40"/>
      <c r="AF273" s="40"/>
      <c r="AG273" s="40"/>
      <c r="AH273" s="40"/>
      <c r="AI273" s="40"/>
      <c r="AJ273" s="40"/>
      <c r="AK273" s="40"/>
    </row>
    <row r="274">
      <c r="A274" s="10"/>
      <c r="B274" s="10"/>
      <c r="C274" s="10"/>
      <c r="D274" s="10"/>
      <c r="E274" s="10"/>
      <c r="F274" s="12"/>
      <c r="G274" s="300"/>
      <c r="H274" s="10"/>
      <c r="I274" s="10"/>
      <c r="J274" s="10"/>
      <c r="K274" s="10"/>
      <c r="L274" s="12"/>
      <c r="M274" s="29" t="str">
        <f t="shared" si="1"/>
        <v/>
      </c>
      <c r="N274" s="31" t="str">
        <f>IFERROR(__xludf.DUMMYFUNCTION("IF(Account!$F274&lt;&gt;"""", VALUE(REGEXREPLACE($I274, ""\,"", ""."")), """")"),"")</f>
        <v/>
      </c>
      <c r="O274" s="33" t="str">
        <f>IF(Account!$F274&lt;&gt;"", DATEVALUE(MID($A274,4,3) &amp; LEFT($A274,3) &amp; RIGHT($A274,4)) + TIMEVALUE($B274), "")</f>
        <v/>
      </c>
      <c r="P274" s="34" t="str">
        <f>IF(Account!$F274&lt;&gt;"", DATEVALUE(MID($C274,4,3) &amp; LEFT($C274,3) &amp; RIGHT($C274,4)), "")</f>
        <v/>
      </c>
      <c r="Q274" s="35" t="str">
        <f t="array" ref="Q274">IF($R274&lt;&gt;"",IFERROR(INDEX(Investment!$A:$A,MATCH($R274,Investment!$H:$H,0))),)</f>
        <v/>
      </c>
      <c r="R274" s="36" t="str">
        <f t="array" ref="R274">IF(AND($Y274="change",$H274="EUR"),IF(AND($AA274="Crédit",$O274=$O275),$R275,IF(AND($AA274="Débit",$O274=$O273),$R273)),IF(OR(AND(OR($E274&lt;&gt;"",$M274=""),$N274&lt;&gt;0),$A274=""),IFERROR(INDEX(Investment!$H:$H,MATCH($E274,Investment!$F:$F,0))),IFERROR(INDEX($R275:$R1119,MATCH(SUBSTITUTE($I274,"-","",1),$K275:$K1119,0)),INDEX($R275:$R1119,MATCH($K274,$K275:$K1119,0)))))</f>
        <v/>
      </c>
      <c r="S274" s="35" t="str">
        <f t="shared" si="2"/>
        <v/>
      </c>
      <c r="T274" s="37" t="str">
        <f t="shared" si="3"/>
        <v/>
      </c>
      <c r="U274" s="38" t="str">
        <f t="shared" si="4"/>
        <v/>
      </c>
      <c r="V274" s="31" t="str">
        <f t="shared" si="5"/>
        <v/>
      </c>
      <c r="W274" s="39" t="str">
        <f>IFERROR(__xludf.DUMMYFUNCTION(" IF(Account!$F274&lt;&gt;"""", SPLIT(Account!$F274, "" ""), """")"),"")</f>
        <v/>
      </c>
      <c r="X274" s="40"/>
      <c r="Y274" s="40"/>
      <c r="Z274" s="40"/>
      <c r="AA274" s="40"/>
      <c r="AB274" s="40"/>
      <c r="AC274" s="40"/>
      <c r="AD274" s="40"/>
      <c r="AE274" s="40"/>
      <c r="AF274" s="40"/>
      <c r="AG274" s="40"/>
      <c r="AH274" s="40"/>
      <c r="AI274" s="40"/>
      <c r="AJ274" s="40"/>
      <c r="AK274" s="40"/>
    </row>
    <row r="275">
      <c r="A275" s="10"/>
      <c r="B275" s="10"/>
      <c r="C275" s="10"/>
      <c r="D275" s="10"/>
      <c r="E275" s="10"/>
      <c r="F275" s="12"/>
      <c r="G275" s="10"/>
      <c r="H275" s="10"/>
      <c r="I275" s="10"/>
      <c r="J275" s="10"/>
      <c r="K275" s="10"/>
      <c r="L275" s="12"/>
      <c r="M275" s="29" t="str">
        <f t="shared" si="1"/>
        <v/>
      </c>
      <c r="N275" s="31" t="str">
        <f>IFERROR(__xludf.DUMMYFUNCTION("IF(Account!$F275&lt;&gt;"""", VALUE(REGEXREPLACE($I275, ""\,"", ""."")), """")"),"")</f>
        <v/>
      </c>
      <c r="O275" s="33" t="str">
        <f>IF(Account!$F275&lt;&gt;"", DATEVALUE(MID($A275,4,3) &amp; LEFT($A275,3) &amp; RIGHT($A275,4)) + TIMEVALUE($B275), "")</f>
        <v/>
      </c>
      <c r="P275" s="34" t="str">
        <f>IF(Account!$F275&lt;&gt;"", DATEVALUE(MID($C275,4,3) &amp; LEFT($C275,3) &amp; RIGHT($C275,4)), "")</f>
        <v/>
      </c>
      <c r="Q275" s="35" t="str">
        <f t="array" ref="Q275">IF($R275&lt;&gt;"",IFERROR(INDEX(Investment!$A:$A,MATCH($R275,Investment!$H:$H,0))),)</f>
        <v/>
      </c>
      <c r="R275" s="36" t="str">
        <f t="array" ref="R275">IF(AND($Y275="change",$H275="EUR"),IF(AND($AA275="Crédit",$O275=$O276),$R276,IF(AND($AA275="Débit",$O275=$O274),$R274)),IF(OR(AND(OR($E275&lt;&gt;"",$M275=""),$N275&lt;&gt;0),$A275=""),IFERROR(INDEX(Investment!$H:$H,MATCH($E275,Investment!$F:$F,0))),IFERROR(INDEX($R276:$R1119,MATCH(SUBSTITUTE($I275,"-","",1),$K276:$K1119,0)),INDEX($R276:$R1119,MATCH($K275,$K276:$K1119,0)))))</f>
        <v/>
      </c>
      <c r="S275" s="35" t="str">
        <f t="shared" si="2"/>
        <v/>
      </c>
      <c r="T275" s="37" t="str">
        <f t="shared" si="3"/>
        <v/>
      </c>
      <c r="U275" s="38" t="str">
        <f t="shared" si="4"/>
        <v/>
      </c>
      <c r="V275" s="31" t="str">
        <f t="shared" si="5"/>
        <v/>
      </c>
      <c r="W275" s="39" t="str">
        <f>IFERROR(__xludf.DUMMYFUNCTION(" IF(Account!$F275&lt;&gt;"""", SPLIT(Account!$F275, "" ""), """")"),"")</f>
        <v/>
      </c>
      <c r="X275" s="40"/>
      <c r="Y275" s="40"/>
      <c r="Z275" s="40"/>
      <c r="AA275" s="40"/>
      <c r="AB275" s="40"/>
      <c r="AC275" s="40"/>
      <c r="AD275" s="40"/>
      <c r="AE275" s="40"/>
      <c r="AF275" s="40"/>
      <c r="AG275" s="40"/>
      <c r="AH275" s="40"/>
      <c r="AI275" s="40"/>
      <c r="AJ275" s="40"/>
      <c r="AK275" s="40"/>
    </row>
    <row r="276">
      <c r="A276" s="10"/>
      <c r="B276" s="10"/>
      <c r="C276" s="10"/>
      <c r="D276" s="10"/>
      <c r="E276" s="10"/>
      <c r="F276" s="12"/>
      <c r="G276" s="300"/>
      <c r="H276" s="10"/>
      <c r="I276" s="10"/>
      <c r="J276" s="10"/>
      <c r="K276" s="10"/>
      <c r="L276" s="12"/>
      <c r="M276" s="29" t="str">
        <f t="shared" si="1"/>
        <v/>
      </c>
      <c r="N276" s="31" t="str">
        <f>IFERROR(__xludf.DUMMYFUNCTION("IF(Account!$F276&lt;&gt;"""", VALUE(REGEXREPLACE($I276, ""\,"", ""."")), """")"),"")</f>
        <v/>
      </c>
      <c r="O276" s="33" t="str">
        <f>IF(Account!$F276&lt;&gt;"", DATEVALUE(MID($A276,4,3) &amp; LEFT($A276,3) &amp; RIGHT($A276,4)) + TIMEVALUE($B276), "")</f>
        <v/>
      </c>
      <c r="P276" s="34" t="str">
        <f>IF(Account!$F276&lt;&gt;"", DATEVALUE(MID($C276,4,3) &amp; LEFT($C276,3) &amp; RIGHT($C276,4)), "")</f>
        <v/>
      </c>
      <c r="Q276" s="35" t="str">
        <f t="array" ref="Q276">IF($R276&lt;&gt;"",IFERROR(INDEX(Investment!$A:$A,MATCH($R276,Investment!$H:$H,0))),)</f>
        <v/>
      </c>
      <c r="R276" s="36" t="str">
        <f t="array" ref="R276">IF(AND($Y276="change",$H276="EUR"),IF(AND($AA276="Crédit",$O276=$O277),$R277,IF(AND($AA276="Débit",$O276=$O275),$R275)),IF(OR(AND(OR($E276&lt;&gt;"",$M276=""),$N276&lt;&gt;0),$A276=""),IFERROR(INDEX(Investment!$H:$H,MATCH($E276,Investment!$F:$F,0))),IFERROR(INDEX($R277:$R1119,MATCH(SUBSTITUTE($I276,"-","",1),$K277:$K1119,0)),INDEX($R277:$R1119,MATCH($K276,$K277:$K1119,0)))))</f>
        <v/>
      </c>
      <c r="S276" s="35" t="str">
        <f t="shared" si="2"/>
        <v/>
      </c>
      <c r="T276" s="37" t="str">
        <f t="shared" si="3"/>
        <v/>
      </c>
      <c r="U276" s="38" t="str">
        <f t="shared" si="4"/>
        <v/>
      </c>
      <c r="V276" s="31" t="str">
        <f t="shared" si="5"/>
        <v/>
      </c>
      <c r="W276" s="39" t="str">
        <f>IFERROR(__xludf.DUMMYFUNCTION(" IF(Account!$F276&lt;&gt;"""", SPLIT(Account!$F276, "" ""), """")"),"")</f>
        <v/>
      </c>
      <c r="X276" s="40"/>
      <c r="Y276" s="40"/>
      <c r="Z276" s="40"/>
      <c r="AA276" s="40"/>
      <c r="AB276" s="40"/>
      <c r="AC276" s="40"/>
      <c r="AD276" s="40"/>
      <c r="AE276" s="40"/>
      <c r="AF276" s="40"/>
      <c r="AG276" s="40"/>
      <c r="AH276" s="40"/>
      <c r="AI276" s="40"/>
      <c r="AJ276" s="40"/>
      <c r="AK276" s="40"/>
    </row>
    <row r="277">
      <c r="A277" s="10"/>
      <c r="B277" s="10"/>
      <c r="C277" s="10"/>
      <c r="D277" s="10"/>
      <c r="E277" s="10"/>
      <c r="F277" s="12"/>
      <c r="G277" s="10"/>
      <c r="H277" s="10"/>
      <c r="I277" s="10"/>
      <c r="J277" s="10"/>
      <c r="K277" s="10"/>
      <c r="L277" s="12"/>
      <c r="M277" s="29" t="str">
        <f t="shared" si="1"/>
        <v/>
      </c>
      <c r="N277" s="31" t="str">
        <f>IFERROR(__xludf.DUMMYFUNCTION("IF(Account!$F277&lt;&gt;"""", VALUE(REGEXREPLACE($I277, ""\,"", ""."")), """")"),"")</f>
        <v/>
      </c>
      <c r="O277" s="33" t="str">
        <f>IF(Account!$F277&lt;&gt;"", DATEVALUE(MID($A277,4,3) &amp; LEFT($A277,3) &amp; RIGHT($A277,4)) + TIMEVALUE($B277), "")</f>
        <v/>
      </c>
      <c r="P277" s="34" t="str">
        <f>IF(Account!$F277&lt;&gt;"", DATEVALUE(MID($C277,4,3) &amp; LEFT($C277,3) &amp; RIGHT($C277,4)), "")</f>
        <v/>
      </c>
      <c r="Q277" s="35" t="str">
        <f t="array" ref="Q277">IF($R277&lt;&gt;"",IFERROR(INDEX(Investment!$A:$A,MATCH($R277,Investment!$H:$H,0))),)</f>
        <v/>
      </c>
      <c r="R277" s="36" t="str">
        <f t="array" ref="R277">IF(AND($Y277="change",$H277="EUR"),IF(AND($AA277="Crédit",$O277=$O278),$R278,IF(AND($AA277="Débit",$O277=$O276),$R276)),IF(OR(AND(OR($E277&lt;&gt;"",$M277=""),$N277&lt;&gt;0),$A277=""),IFERROR(INDEX(Investment!$H:$H,MATCH($E277,Investment!$F:$F,0))),IFERROR(INDEX($R278:$R1119,MATCH(SUBSTITUTE($I277,"-","",1),$K278:$K1119,0)),INDEX($R278:$R1119,MATCH($K277,$K278:$K1119,0)))))</f>
        <v/>
      </c>
      <c r="S277" s="35" t="str">
        <f t="shared" si="2"/>
        <v/>
      </c>
      <c r="T277" s="37" t="str">
        <f t="shared" si="3"/>
        <v/>
      </c>
      <c r="U277" s="38" t="str">
        <f t="shared" si="4"/>
        <v/>
      </c>
      <c r="V277" s="31" t="str">
        <f t="shared" si="5"/>
        <v/>
      </c>
      <c r="W277" s="39" t="str">
        <f>IFERROR(__xludf.DUMMYFUNCTION(" IF(Account!$F277&lt;&gt;"""", SPLIT(Account!$F277, "" ""), """")"),"")</f>
        <v/>
      </c>
      <c r="X277" s="40"/>
      <c r="Y277" s="40"/>
      <c r="Z277" s="40"/>
      <c r="AA277" s="40"/>
      <c r="AB277" s="40"/>
      <c r="AC277" s="40"/>
      <c r="AD277" s="40"/>
      <c r="AE277" s="40"/>
      <c r="AF277" s="40"/>
      <c r="AG277" s="40"/>
      <c r="AH277" s="40"/>
      <c r="AI277" s="40"/>
      <c r="AJ277" s="40"/>
      <c r="AK277" s="40"/>
    </row>
    <row r="278">
      <c r="A278" s="10"/>
      <c r="B278" s="10"/>
      <c r="C278" s="10"/>
      <c r="D278" s="10"/>
      <c r="E278" s="10"/>
      <c r="F278" s="12"/>
      <c r="G278" s="300"/>
      <c r="H278" s="10"/>
      <c r="I278" s="10"/>
      <c r="J278" s="10"/>
      <c r="K278" s="10"/>
      <c r="L278" s="12"/>
      <c r="M278" s="29" t="str">
        <f t="shared" si="1"/>
        <v/>
      </c>
      <c r="N278" s="31" t="str">
        <f>IFERROR(__xludf.DUMMYFUNCTION("IF(Account!$F278&lt;&gt;"""", VALUE(REGEXREPLACE($I278, ""\,"", ""."")), """")"),"")</f>
        <v/>
      </c>
      <c r="O278" s="33" t="str">
        <f>IF(Account!$F278&lt;&gt;"", DATEVALUE(MID($A278,4,3) &amp; LEFT($A278,3) &amp; RIGHT($A278,4)) + TIMEVALUE($B278), "")</f>
        <v/>
      </c>
      <c r="P278" s="34" t="str">
        <f>IF(Account!$F278&lt;&gt;"", DATEVALUE(MID($C278,4,3) &amp; LEFT($C278,3) &amp; RIGHT($C278,4)), "")</f>
        <v/>
      </c>
      <c r="Q278" s="35" t="str">
        <f t="array" ref="Q278">IF($R278&lt;&gt;"",IFERROR(INDEX(Investment!$A:$A,MATCH($R278,Investment!$H:$H,0))),)</f>
        <v/>
      </c>
      <c r="R278" s="36" t="str">
        <f t="array" ref="R278">IF(AND($Y278="change",$H278="EUR"),IF(AND($AA278="Crédit",$O278=$O279),$R279,IF(AND($AA278="Débit",$O278=$O277),$R277)),IF(OR(AND(OR($E278&lt;&gt;"",$M278=""),$N278&lt;&gt;0),$A278=""),IFERROR(INDEX(Investment!$H:$H,MATCH($E278,Investment!$F:$F,0))),IFERROR(INDEX($R279:$R1119,MATCH(SUBSTITUTE($I278,"-","",1),$K279:$K1119,0)),INDEX($R279:$R1119,MATCH($K278,$K279:$K1119,0)))))</f>
        <v/>
      </c>
      <c r="S278" s="35" t="str">
        <f t="shared" si="2"/>
        <v/>
      </c>
      <c r="T278" s="37" t="str">
        <f t="shared" si="3"/>
        <v/>
      </c>
      <c r="U278" s="38" t="str">
        <f t="shared" si="4"/>
        <v/>
      </c>
      <c r="V278" s="31" t="str">
        <f t="shared" si="5"/>
        <v/>
      </c>
      <c r="W278" s="39" t="str">
        <f>IFERROR(__xludf.DUMMYFUNCTION(" IF(Account!$F278&lt;&gt;"""", SPLIT(Account!$F278, "" ""), """")"),"")</f>
        <v/>
      </c>
      <c r="X278" s="40"/>
      <c r="Y278" s="40"/>
      <c r="Z278" s="40"/>
      <c r="AA278" s="40"/>
      <c r="AB278" s="40"/>
      <c r="AC278" s="40"/>
      <c r="AD278" s="40"/>
      <c r="AE278" s="40"/>
      <c r="AF278" s="40"/>
      <c r="AG278" s="40"/>
      <c r="AH278" s="40"/>
      <c r="AI278" s="40"/>
      <c r="AJ278" s="40"/>
      <c r="AK278" s="40"/>
    </row>
    <row r="279">
      <c r="A279" s="10"/>
      <c r="B279" s="10"/>
      <c r="C279" s="10"/>
      <c r="D279" s="10"/>
      <c r="E279" s="10"/>
      <c r="F279" s="12"/>
      <c r="G279" s="10"/>
      <c r="H279" s="10"/>
      <c r="I279" s="10"/>
      <c r="J279" s="10"/>
      <c r="K279" s="10"/>
      <c r="L279" s="12"/>
      <c r="M279" s="29" t="str">
        <f t="shared" si="1"/>
        <v/>
      </c>
      <c r="N279" s="31" t="str">
        <f>IFERROR(__xludf.DUMMYFUNCTION("IF(Account!$F279&lt;&gt;"""", VALUE(REGEXREPLACE($I279, ""\,"", ""."")), """")"),"")</f>
        <v/>
      </c>
      <c r="O279" s="33" t="str">
        <f>IF(Account!$F279&lt;&gt;"", DATEVALUE(MID($A279,4,3) &amp; LEFT($A279,3) &amp; RIGHT($A279,4)) + TIMEVALUE($B279), "")</f>
        <v/>
      </c>
      <c r="P279" s="34" t="str">
        <f>IF(Account!$F279&lt;&gt;"", DATEVALUE(MID($C279,4,3) &amp; LEFT($C279,3) &amp; RIGHT($C279,4)), "")</f>
        <v/>
      </c>
      <c r="Q279" s="35" t="str">
        <f t="array" ref="Q279">IF($R279&lt;&gt;"",IFERROR(INDEX(Investment!$A:$A,MATCH($R279,Investment!$H:$H,0))),)</f>
        <v/>
      </c>
      <c r="R279" s="36" t="str">
        <f t="array" ref="R279">IF(AND($Y279="change",$H279="EUR"),IF(AND($AA279="Crédit",$O279=$O280),$R280,IF(AND($AA279="Débit",$O279=$O278),$R278)),IF(OR(AND(OR($E279&lt;&gt;"",$M279=""),$N279&lt;&gt;0),$A279=""),IFERROR(INDEX(Investment!$H:$H,MATCH($E279,Investment!$F:$F,0))),IFERROR(INDEX($R280:$R1119,MATCH(SUBSTITUTE($I279,"-","",1),$K280:$K1119,0)),INDEX($R280:$R1119,MATCH($K279,$K280:$K1119,0)))))</f>
        <v/>
      </c>
      <c r="S279" s="35" t="str">
        <f t="shared" si="2"/>
        <v/>
      </c>
      <c r="T279" s="37" t="str">
        <f t="shared" si="3"/>
        <v/>
      </c>
      <c r="U279" s="38" t="str">
        <f t="shared" si="4"/>
        <v/>
      </c>
      <c r="V279" s="31" t="str">
        <f t="shared" si="5"/>
        <v/>
      </c>
      <c r="W279" s="39" t="str">
        <f>IFERROR(__xludf.DUMMYFUNCTION(" IF(Account!$F279&lt;&gt;"""", SPLIT(Account!$F279, "" ""), """")"),"")</f>
        <v/>
      </c>
      <c r="X279" s="40"/>
      <c r="Y279" s="40"/>
      <c r="Z279" s="40"/>
      <c r="AA279" s="40"/>
      <c r="AB279" s="40"/>
      <c r="AC279" s="40"/>
      <c r="AD279" s="40"/>
      <c r="AE279" s="40"/>
      <c r="AF279" s="40"/>
      <c r="AG279" s="40"/>
      <c r="AH279" s="40"/>
      <c r="AI279" s="40"/>
      <c r="AJ279" s="40"/>
      <c r="AK279" s="40"/>
    </row>
    <row r="280">
      <c r="A280" s="10"/>
      <c r="B280" s="10"/>
      <c r="C280" s="10"/>
      <c r="D280" s="10"/>
      <c r="E280" s="10"/>
      <c r="F280" s="12"/>
      <c r="G280" s="300"/>
      <c r="H280" s="10"/>
      <c r="I280" s="10"/>
      <c r="J280" s="10"/>
      <c r="K280" s="10"/>
      <c r="L280" s="12"/>
      <c r="M280" s="29" t="str">
        <f t="shared" si="1"/>
        <v/>
      </c>
      <c r="N280" s="31" t="str">
        <f>IFERROR(__xludf.DUMMYFUNCTION("IF(Account!$F280&lt;&gt;"""", VALUE(REGEXREPLACE($I280, ""\,"", ""."")), """")"),"")</f>
        <v/>
      </c>
      <c r="O280" s="33" t="str">
        <f>IF(Account!$F280&lt;&gt;"", DATEVALUE(MID($A280,4,3) &amp; LEFT($A280,3) &amp; RIGHT($A280,4)) + TIMEVALUE($B280), "")</f>
        <v/>
      </c>
      <c r="P280" s="34" t="str">
        <f>IF(Account!$F280&lt;&gt;"", DATEVALUE(MID($C280,4,3) &amp; LEFT($C280,3) &amp; RIGHT($C280,4)), "")</f>
        <v/>
      </c>
      <c r="Q280" s="35" t="str">
        <f t="array" ref="Q280">IF($R280&lt;&gt;"",IFERROR(INDEX(Investment!$A:$A,MATCH($R280,Investment!$H:$H,0))),)</f>
        <v/>
      </c>
      <c r="R280" s="36" t="str">
        <f t="array" ref="R280">IF(AND($Y280="change",$H280="EUR"),IF(AND($AA280="Crédit",$O280=$O281),$R281,IF(AND($AA280="Débit",$O280=$O279),$R279)),IF(OR(AND(OR($E280&lt;&gt;"",$M280=""),$N280&lt;&gt;0),$A280=""),IFERROR(INDEX(Investment!$H:$H,MATCH($E280,Investment!$F:$F,0))),IFERROR(INDEX($R281:$R1119,MATCH(SUBSTITUTE($I280,"-","",1),$K281:$K1119,0)),INDEX($R281:$R1119,MATCH($K280,$K281:$K1119,0)))))</f>
        <v/>
      </c>
      <c r="S280" s="35" t="str">
        <f t="shared" si="2"/>
        <v/>
      </c>
      <c r="T280" s="37" t="str">
        <f t="shared" si="3"/>
        <v/>
      </c>
      <c r="U280" s="38" t="str">
        <f t="shared" si="4"/>
        <v/>
      </c>
      <c r="V280" s="31" t="str">
        <f t="shared" si="5"/>
        <v/>
      </c>
      <c r="W280" s="39" t="str">
        <f>IFERROR(__xludf.DUMMYFUNCTION(" IF(Account!$F280&lt;&gt;"""", SPLIT(Account!$F280, "" ""), """")"),"")</f>
        <v/>
      </c>
      <c r="X280" s="40"/>
      <c r="Y280" s="40"/>
      <c r="Z280" s="40"/>
      <c r="AA280" s="40"/>
      <c r="AB280" s="40"/>
      <c r="AC280" s="40"/>
      <c r="AD280" s="40"/>
      <c r="AE280" s="40"/>
      <c r="AF280" s="40"/>
      <c r="AG280" s="40"/>
      <c r="AH280" s="40"/>
      <c r="AI280" s="40"/>
      <c r="AJ280" s="40"/>
      <c r="AK280" s="40"/>
    </row>
    <row r="281">
      <c r="A281" s="10"/>
      <c r="B281" s="10"/>
      <c r="C281" s="10"/>
      <c r="D281" s="10"/>
      <c r="E281" s="10"/>
      <c r="F281" s="12"/>
      <c r="G281" s="300"/>
      <c r="H281" s="10"/>
      <c r="I281" s="10"/>
      <c r="J281" s="10"/>
      <c r="K281" s="10"/>
      <c r="L281" s="12"/>
      <c r="M281" s="29" t="str">
        <f t="shared" si="1"/>
        <v/>
      </c>
      <c r="N281" s="31" t="str">
        <f>IFERROR(__xludf.DUMMYFUNCTION("IF(Account!$F281&lt;&gt;"""", VALUE(REGEXREPLACE($I281, ""\,"", ""."")), """")"),"")</f>
        <v/>
      </c>
      <c r="O281" s="33" t="str">
        <f>IF(Account!$F281&lt;&gt;"", DATEVALUE(MID($A281,4,3) &amp; LEFT($A281,3) &amp; RIGHT($A281,4)) + TIMEVALUE($B281), "")</f>
        <v/>
      </c>
      <c r="P281" s="34" t="str">
        <f>IF(Account!$F281&lt;&gt;"", DATEVALUE(MID($C281,4,3) &amp; LEFT($C281,3) &amp; RIGHT($C281,4)), "")</f>
        <v/>
      </c>
      <c r="Q281" s="35" t="str">
        <f t="array" ref="Q281">IF($R281&lt;&gt;"",IFERROR(INDEX(Investment!$A:$A,MATCH($R281,Investment!$H:$H,0))),)</f>
        <v/>
      </c>
      <c r="R281" s="36" t="str">
        <f t="array" ref="R281">IF(AND($Y281="change",$H281="EUR"),IF(AND($AA281="Crédit",$O281=$O282),$R282,IF(AND($AA281="Débit",$O281=$O280),$R280)),IF(OR(AND(OR($E281&lt;&gt;"",$M281=""),$N281&lt;&gt;0),$A281=""),IFERROR(INDEX(Investment!$H:$H,MATCH($E281,Investment!$F:$F,0))),IFERROR(INDEX($R282:$R1119,MATCH(SUBSTITUTE($I281,"-","",1),$K282:$K1119,0)),INDEX($R282:$R1119,MATCH($K281,$K282:$K1119,0)))))</f>
        <v/>
      </c>
      <c r="S281" s="35" t="str">
        <f t="shared" si="2"/>
        <v/>
      </c>
      <c r="T281" s="37" t="str">
        <f t="shared" si="3"/>
        <v/>
      </c>
      <c r="U281" s="38" t="str">
        <f t="shared" si="4"/>
        <v/>
      </c>
      <c r="V281" s="31" t="str">
        <f t="shared" si="5"/>
        <v/>
      </c>
      <c r="W281" s="39" t="str">
        <f>IFERROR(__xludf.DUMMYFUNCTION(" IF(Account!$F281&lt;&gt;"""", SPLIT(Account!$F281, "" ""), """")"),"")</f>
        <v/>
      </c>
      <c r="X281" s="40"/>
      <c r="Y281" s="40"/>
      <c r="Z281" s="40"/>
      <c r="AA281" s="40"/>
      <c r="AB281" s="40"/>
      <c r="AC281" s="40"/>
      <c r="AD281" s="40"/>
      <c r="AE281" s="40"/>
      <c r="AF281" s="40"/>
      <c r="AG281" s="40"/>
      <c r="AH281" s="40"/>
      <c r="AI281" s="40"/>
      <c r="AJ281" s="40"/>
      <c r="AK281" s="40"/>
    </row>
    <row r="282">
      <c r="A282" s="10"/>
      <c r="B282" s="10"/>
      <c r="C282" s="10"/>
      <c r="D282" s="10"/>
      <c r="E282" s="10"/>
      <c r="F282" s="12"/>
      <c r="G282" s="300"/>
      <c r="H282" s="10"/>
      <c r="I282" s="10"/>
      <c r="J282" s="10"/>
      <c r="K282" s="10"/>
      <c r="L282" s="12"/>
      <c r="M282" s="29" t="str">
        <f t="shared" si="1"/>
        <v/>
      </c>
      <c r="N282" s="31" t="str">
        <f>IFERROR(__xludf.DUMMYFUNCTION("IF(Account!$F282&lt;&gt;"""", VALUE(REGEXREPLACE($I282, ""\,"", ""."")), """")"),"")</f>
        <v/>
      </c>
      <c r="O282" s="33" t="str">
        <f>IF(Account!$F282&lt;&gt;"", DATEVALUE(MID($A282,4,3) &amp; LEFT($A282,3) &amp; RIGHT($A282,4)) + TIMEVALUE($B282), "")</f>
        <v/>
      </c>
      <c r="P282" s="34" t="str">
        <f>IF(Account!$F282&lt;&gt;"", DATEVALUE(MID($C282,4,3) &amp; LEFT($C282,3) &amp; RIGHT($C282,4)), "")</f>
        <v/>
      </c>
      <c r="Q282" s="35" t="str">
        <f t="array" ref="Q282">IF($R282&lt;&gt;"",IFERROR(INDEX(Investment!$A:$A,MATCH($R282,Investment!$H:$H,0))),)</f>
        <v/>
      </c>
      <c r="R282" s="36" t="str">
        <f t="array" ref="R282">IF(AND($Y282="change",$H282="EUR"),IF(AND($AA282="Crédit",$O282=$O283),$R283,IF(AND($AA282="Débit",$O282=$O281),$R281)),IF(OR(AND(OR($E282&lt;&gt;"",$M282=""),$N282&lt;&gt;0),$A282=""),IFERROR(INDEX(Investment!$H:$H,MATCH($E282,Investment!$F:$F,0))),IFERROR(INDEX($R283:$R1119,MATCH(SUBSTITUTE($I282,"-","",1),$K283:$K1119,0)),INDEX($R283:$R1119,MATCH($K282,$K283:$K1119,0)))))</f>
        <v/>
      </c>
      <c r="S282" s="35" t="str">
        <f t="shared" si="2"/>
        <v/>
      </c>
      <c r="T282" s="37" t="str">
        <f t="shared" si="3"/>
        <v/>
      </c>
      <c r="U282" s="38" t="str">
        <f t="shared" si="4"/>
        <v/>
      </c>
      <c r="V282" s="31" t="str">
        <f t="shared" si="5"/>
        <v/>
      </c>
      <c r="W282" s="39" t="str">
        <f>IFERROR(__xludf.DUMMYFUNCTION(" IF(Account!$F282&lt;&gt;"""", SPLIT(Account!$F282, "" ""), """")"),"")</f>
        <v/>
      </c>
      <c r="X282" s="40"/>
      <c r="Y282" s="40"/>
      <c r="Z282" s="40"/>
      <c r="AA282" s="40"/>
      <c r="AB282" s="40"/>
      <c r="AC282" s="40"/>
      <c r="AD282" s="40"/>
      <c r="AE282" s="40"/>
      <c r="AF282" s="40"/>
      <c r="AG282" s="40"/>
      <c r="AH282" s="40"/>
      <c r="AI282" s="40"/>
      <c r="AJ282" s="40"/>
      <c r="AK282" s="40"/>
    </row>
    <row r="283">
      <c r="A283" s="10"/>
      <c r="B283" s="10"/>
      <c r="C283" s="10"/>
      <c r="D283" s="10"/>
      <c r="E283" s="10"/>
      <c r="F283" s="12"/>
      <c r="G283" s="300"/>
      <c r="H283" s="10"/>
      <c r="I283" s="10"/>
      <c r="J283" s="10"/>
      <c r="K283" s="10"/>
      <c r="L283" s="12"/>
      <c r="M283" s="29" t="str">
        <f t="shared" si="1"/>
        <v/>
      </c>
      <c r="N283" s="31" t="str">
        <f>IFERROR(__xludf.DUMMYFUNCTION("IF(Account!$F283&lt;&gt;"""", VALUE(REGEXREPLACE($I283, ""\,"", ""."")), """")"),"")</f>
        <v/>
      </c>
      <c r="O283" s="33" t="str">
        <f>IF(Account!$F283&lt;&gt;"", DATEVALUE(MID($A283,4,3) &amp; LEFT($A283,3) &amp; RIGHT($A283,4)) + TIMEVALUE($B283), "")</f>
        <v/>
      </c>
      <c r="P283" s="34" t="str">
        <f>IF(Account!$F283&lt;&gt;"", DATEVALUE(MID($C283,4,3) &amp; LEFT($C283,3) &amp; RIGHT($C283,4)), "")</f>
        <v/>
      </c>
      <c r="Q283" s="35" t="str">
        <f t="array" ref="Q283">IF($R283&lt;&gt;"",IFERROR(INDEX(Investment!$A:$A,MATCH($R283,Investment!$H:$H,0))),)</f>
        <v/>
      </c>
      <c r="R283" s="36" t="str">
        <f t="array" ref="R283">IF(AND($Y283="change",$H283="EUR"),IF(AND($AA283="Crédit",$O283=$O284),$R284,IF(AND($AA283="Débit",$O283=$O282),$R282)),IF(OR(AND(OR($E283&lt;&gt;"",$M283=""),$N283&lt;&gt;0),$A283=""),IFERROR(INDEX(Investment!$H:$H,MATCH($E283,Investment!$F:$F,0))),IFERROR(INDEX($R284:$R1119,MATCH(SUBSTITUTE($I283,"-","",1),$K284:$K1119,0)),INDEX($R284:$R1119,MATCH($K283,$K284:$K1119,0)))))</f>
        <v/>
      </c>
      <c r="S283" s="35" t="str">
        <f t="shared" si="2"/>
        <v/>
      </c>
      <c r="T283" s="37" t="str">
        <f t="shared" si="3"/>
        <v/>
      </c>
      <c r="U283" s="38" t="str">
        <f t="shared" si="4"/>
        <v/>
      </c>
      <c r="V283" s="31" t="str">
        <f t="shared" si="5"/>
        <v/>
      </c>
      <c r="W283" s="39" t="str">
        <f>IFERROR(__xludf.DUMMYFUNCTION(" IF(Account!$F283&lt;&gt;"""", SPLIT(Account!$F283, "" ""), """")"),"")</f>
        <v/>
      </c>
      <c r="X283" s="40"/>
      <c r="Y283" s="40"/>
      <c r="Z283" s="40"/>
      <c r="AA283" s="40"/>
      <c r="AB283" s="40"/>
      <c r="AC283" s="40"/>
      <c r="AD283" s="40"/>
      <c r="AE283" s="40"/>
      <c r="AF283" s="40"/>
      <c r="AG283" s="40"/>
      <c r="AH283" s="40"/>
      <c r="AI283" s="40"/>
      <c r="AJ283" s="40"/>
      <c r="AK283" s="40"/>
    </row>
    <row r="284">
      <c r="A284" s="10"/>
      <c r="B284" s="10"/>
      <c r="C284" s="10"/>
      <c r="D284" s="10"/>
      <c r="E284" s="10"/>
      <c r="F284" s="12"/>
      <c r="G284" s="300"/>
      <c r="H284" s="10"/>
      <c r="I284" s="10"/>
      <c r="J284" s="10"/>
      <c r="K284" s="10"/>
      <c r="L284" s="12"/>
      <c r="M284" s="29" t="str">
        <f t="shared" si="1"/>
        <v/>
      </c>
      <c r="N284" s="31" t="str">
        <f>IFERROR(__xludf.DUMMYFUNCTION("IF(Account!$F284&lt;&gt;"""", VALUE(REGEXREPLACE($I284, ""\,"", ""."")), """")"),"")</f>
        <v/>
      </c>
      <c r="O284" s="33" t="str">
        <f>IF(Account!$F284&lt;&gt;"", DATEVALUE(MID($A284,4,3) &amp; LEFT($A284,3) &amp; RIGHT($A284,4)) + TIMEVALUE($B284), "")</f>
        <v/>
      </c>
      <c r="P284" s="34" t="str">
        <f>IF(Account!$F284&lt;&gt;"", DATEVALUE(MID($C284,4,3) &amp; LEFT($C284,3) &amp; RIGHT($C284,4)), "")</f>
        <v/>
      </c>
      <c r="Q284" s="35" t="str">
        <f t="array" ref="Q284">IF($R284&lt;&gt;"",IFERROR(INDEX(Investment!$A:$A,MATCH($R284,Investment!$H:$H,0))),)</f>
        <v/>
      </c>
      <c r="R284" s="36" t="str">
        <f t="array" ref="R284">IF(AND($Y284="change",$H284="EUR"),IF(AND($AA284="Crédit",$O284=$O285),$R285,IF(AND($AA284="Débit",$O284=$O283),$R283)),IF(OR(AND(OR($E284&lt;&gt;"",$M284=""),$N284&lt;&gt;0),$A284=""),IFERROR(INDEX(Investment!$H:$H,MATCH($E284,Investment!$F:$F,0))),IFERROR(INDEX($R285:$R1119,MATCH(SUBSTITUTE($I284,"-","",1),$K285:$K1119,0)),INDEX($R285:$R1119,MATCH($K284,$K285:$K1119,0)))))</f>
        <v/>
      </c>
      <c r="S284" s="35" t="str">
        <f t="shared" si="2"/>
        <v/>
      </c>
      <c r="T284" s="37" t="str">
        <f t="shared" si="3"/>
        <v/>
      </c>
      <c r="U284" s="38" t="str">
        <f t="shared" si="4"/>
        <v/>
      </c>
      <c r="V284" s="31" t="str">
        <f t="shared" si="5"/>
        <v/>
      </c>
      <c r="W284" s="39" t="str">
        <f>IFERROR(__xludf.DUMMYFUNCTION(" IF(Account!$F284&lt;&gt;"""", SPLIT(Account!$F284, "" ""), """")"),"")</f>
        <v/>
      </c>
      <c r="X284" s="40"/>
      <c r="Y284" s="40"/>
      <c r="Z284" s="40"/>
      <c r="AA284" s="40"/>
      <c r="AB284" s="40"/>
      <c r="AC284" s="40"/>
      <c r="AD284" s="40"/>
      <c r="AE284" s="40"/>
      <c r="AF284" s="40"/>
      <c r="AG284" s="40"/>
      <c r="AH284" s="40"/>
      <c r="AI284" s="40"/>
      <c r="AJ284" s="40"/>
      <c r="AK284" s="40"/>
    </row>
    <row r="285">
      <c r="A285" s="10"/>
      <c r="B285" s="10"/>
      <c r="C285" s="10"/>
      <c r="D285" s="10"/>
      <c r="E285" s="10"/>
      <c r="F285" s="12"/>
      <c r="G285" s="300"/>
      <c r="H285" s="10"/>
      <c r="I285" s="10"/>
      <c r="J285" s="10"/>
      <c r="K285" s="10"/>
      <c r="L285" s="12"/>
      <c r="M285" s="29" t="str">
        <f t="shared" si="1"/>
        <v/>
      </c>
      <c r="N285" s="31" t="str">
        <f>IFERROR(__xludf.DUMMYFUNCTION("IF(Account!$F285&lt;&gt;"""", VALUE(REGEXREPLACE($I285, ""\,"", ""."")), """")"),"")</f>
        <v/>
      </c>
      <c r="O285" s="33" t="str">
        <f>IF(Account!$F285&lt;&gt;"", DATEVALUE(MID($A285,4,3) &amp; LEFT($A285,3) &amp; RIGHT($A285,4)) + TIMEVALUE($B285), "")</f>
        <v/>
      </c>
      <c r="P285" s="34" t="str">
        <f>IF(Account!$F285&lt;&gt;"", DATEVALUE(MID($C285,4,3) &amp; LEFT($C285,3) &amp; RIGHT($C285,4)), "")</f>
        <v/>
      </c>
      <c r="Q285" s="35" t="str">
        <f t="array" ref="Q285">IF($R285&lt;&gt;"",IFERROR(INDEX(Investment!$A:$A,MATCH($R285,Investment!$H:$H,0))),)</f>
        <v/>
      </c>
      <c r="R285" s="36" t="str">
        <f t="array" ref="R285">IF(AND($Y285="change",$H285="EUR"),IF(AND($AA285="Crédit",$O285=$O286),$R286,IF(AND($AA285="Débit",$O285=$O284),$R284)),IF(OR(AND(OR($E285&lt;&gt;"",$M285=""),$N285&lt;&gt;0),$A285=""),IFERROR(INDEX(Investment!$H:$H,MATCH($E285,Investment!$F:$F,0))),IFERROR(INDEX($R286:$R1119,MATCH(SUBSTITUTE($I285,"-","",1),$K286:$K1119,0)),INDEX($R286:$R1119,MATCH($K285,$K286:$K1119,0)))))</f>
        <v/>
      </c>
      <c r="S285" s="35" t="str">
        <f t="shared" si="2"/>
        <v/>
      </c>
      <c r="T285" s="37" t="str">
        <f t="shared" si="3"/>
        <v/>
      </c>
      <c r="U285" s="38" t="str">
        <f t="shared" si="4"/>
        <v/>
      </c>
      <c r="V285" s="31" t="str">
        <f t="shared" si="5"/>
        <v/>
      </c>
      <c r="W285" s="39" t="str">
        <f>IFERROR(__xludf.DUMMYFUNCTION(" IF(Account!$F285&lt;&gt;"""", SPLIT(Account!$F285, "" ""), """")"),"")</f>
        <v/>
      </c>
      <c r="X285" s="40"/>
      <c r="Y285" s="40"/>
      <c r="Z285" s="40"/>
      <c r="AA285" s="40"/>
      <c r="AB285" s="40"/>
      <c r="AC285" s="40"/>
      <c r="AD285" s="40"/>
      <c r="AE285" s="40"/>
      <c r="AF285" s="40"/>
      <c r="AG285" s="40"/>
      <c r="AH285" s="40"/>
      <c r="AI285" s="40"/>
      <c r="AJ285" s="40"/>
      <c r="AK285" s="40"/>
    </row>
    <row r="286">
      <c r="A286" s="10"/>
      <c r="B286" s="10"/>
      <c r="C286" s="10"/>
      <c r="D286" s="10"/>
      <c r="E286" s="10"/>
      <c r="F286" s="12"/>
      <c r="G286" s="10"/>
      <c r="H286" s="10"/>
      <c r="I286" s="10"/>
      <c r="J286" s="10"/>
      <c r="K286" s="10"/>
      <c r="L286" s="12"/>
      <c r="M286" s="29" t="str">
        <f t="shared" si="1"/>
        <v/>
      </c>
      <c r="N286" s="31" t="str">
        <f>IFERROR(__xludf.DUMMYFUNCTION("IF(Account!$F286&lt;&gt;"""", VALUE(REGEXREPLACE($I286, ""\,"", ""."")), """")"),"")</f>
        <v/>
      </c>
      <c r="O286" s="33" t="str">
        <f>IF(Account!$F286&lt;&gt;"", DATEVALUE(MID($A286,4,3) &amp; LEFT($A286,3) &amp; RIGHT($A286,4)) + TIMEVALUE($B286), "")</f>
        <v/>
      </c>
      <c r="P286" s="34" t="str">
        <f>IF(Account!$F286&lt;&gt;"", DATEVALUE(MID($C286,4,3) &amp; LEFT($C286,3) &amp; RIGHT($C286,4)), "")</f>
        <v/>
      </c>
      <c r="Q286" s="35" t="str">
        <f t="array" ref="Q286">IF($R286&lt;&gt;"",IFERROR(INDEX(Investment!$A:$A,MATCH($R286,Investment!$H:$H,0))),)</f>
        <v/>
      </c>
      <c r="R286" s="36" t="str">
        <f t="array" ref="R286">IF(AND($Y286="change",$H286="EUR"),IF(AND($AA286="Crédit",$O286=$O287),$R287,IF(AND($AA286="Débit",$O286=$O285),$R285)),IF(OR(AND(OR($E286&lt;&gt;"",$M286=""),$N286&lt;&gt;0),$A286=""),IFERROR(INDEX(Investment!$H:$H,MATCH($E286,Investment!$F:$F,0))),IFERROR(INDEX($R287:$R1119,MATCH(SUBSTITUTE($I286,"-","",1),$K287:$K1119,0)),INDEX($R287:$R1119,MATCH($K286,$K287:$K1119,0)))))</f>
        <v/>
      </c>
      <c r="S286" s="35" t="str">
        <f t="shared" si="2"/>
        <v/>
      </c>
      <c r="T286" s="37" t="str">
        <f t="shared" si="3"/>
        <v/>
      </c>
      <c r="U286" s="38" t="str">
        <f t="shared" si="4"/>
        <v/>
      </c>
      <c r="V286" s="31" t="str">
        <f t="shared" si="5"/>
        <v/>
      </c>
      <c r="W286" s="39" t="str">
        <f>IFERROR(__xludf.DUMMYFUNCTION(" IF(Account!$F286&lt;&gt;"""", SPLIT(Account!$F286, "" ""), """")"),"")</f>
        <v/>
      </c>
      <c r="X286" s="40"/>
      <c r="Y286" s="40"/>
      <c r="Z286" s="40"/>
      <c r="AA286" s="40"/>
      <c r="AB286" s="40"/>
      <c r="AC286" s="40"/>
      <c r="AD286" s="40"/>
      <c r="AE286" s="40"/>
      <c r="AF286" s="40"/>
      <c r="AG286" s="40"/>
      <c r="AH286" s="40"/>
      <c r="AI286" s="40"/>
      <c r="AJ286" s="40"/>
      <c r="AK286" s="40"/>
    </row>
    <row r="287">
      <c r="A287" s="10"/>
      <c r="B287" s="10"/>
      <c r="C287" s="10"/>
      <c r="D287" s="10"/>
      <c r="E287" s="10"/>
      <c r="F287" s="12"/>
      <c r="G287" s="300"/>
      <c r="H287" s="10"/>
      <c r="I287" s="10"/>
      <c r="J287" s="10"/>
      <c r="K287" s="10"/>
      <c r="L287" s="12"/>
      <c r="M287" s="29" t="str">
        <f t="shared" si="1"/>
        <v/>
      </c>
      <c r="N287" s="31" t="str">
        <f>IFERROR(__xludf.DUMMYFUNCTION("IF(Account!$F287&lt;&gt;"""", VALUE(REGEXREPLACE($I287, ""\,"", ""."")), """")"),"")</f>
        <v/>
      </c>
      <c r="O287" s="33" t="str">
        <f>IF(Account!$F287&lt;&gt;"", DATEVALUE(MID($A287,4,3) &amp; LEFT($A287,3) &amp; RIGHT($A287,4)) + TIMEVALUE($B287), "")</f>
        <v/>
      </c>
      <c r="P287" s="34" t="str">
        <f>IF(Account!$F287&lt;&gt;"", DATEVALUE(MID($C287,4,3) &amp; LEFT($C287,3) &amp; RIGHT($C287,4)), "")</f>
        <v/>
      </c>
      <c r="Q287" s="35" t="str">
        <f t="array" ref="Q287">IF($R287&lt;&gt;"",IFERROR(INDEX(Investment!$A:$A,MATCH($R287,Investment!$H:$H,0))),)</f>
        <v/>
      </c>
      <c r="R287" s="36" t="str">
        <f t="array" ref="R287">IF(AND($Y287="change",$H287="EUR"),IF(AND($AA287="Crédit",$O287=$O288),$R288,IF(AND($AA287="Débit",$O287=$O286),$R286)),IF(OR(AND(OR($E287&lt;&gt;"",$M287=""),$N287&lt;&gt;0),$A287=""),IFERROR(INDEX(Investment!$H:$H,MATCH($E287,Investment!$F:$F,0))),IFERROR(INDEX($R288:$R1119,MATCH(SUBSTITUTE($I287,"-","",1),$K288:$K1119,0)),INDEX($R288:$R1119,MATCH($K287,$K288:$K1119,0)))))</f>
        <v/>
      </c>
      <c r="S287" s="35" t="str">
        <f t="shared" si="2"/>
        <v/>
      </c>
      <c r="T287" s="37" t="str">
        <f t="shared" si="3"/>
        <v/>
      </c>
      <c r="U287" s="38" t="str">
        <f t="shared" si="4"/>
        <v/>
      </c>
      <c r="V287" s="31" t="str">
        <f t="shared" si="5"/>
        <v/>
      </c>
      <c r="W287" s="39" t="str">
        <f>IFERROR(__xludf.DUMMYFUNCTION(" IF(Account!$F287&lt;&gt;"""", SPLIT(Account!$F287, "" ""), """")"),"")</f>
        <v/>
      </c>
      <c r="X287" s="40"/>
      <c r="Y287" s="40"/>
      <c r="Z287" s="40"/>
      <c r="AA287" s="40"/>
      <c r="AB287" s="40"/>
      <c r="AC287" s="40"/>
      <c r="AD287" s="40"/>
      <c r="AE287" s="40"/>
      <c r="AF287" s="40"/>
      <c r="AG287" s="40"/>
      <c r="AH287" s="40"/>
      <c r="AI287" s="40"/>
      <c r="AJ287" s="40"/>
      <c r="AK287" s="40"/>
    </row>
    <row r="288">
      <c r="A288" s="10"/>
      <c r="B288" s="10"/>
      <c r="C288" s="10"/>
      <c r="D288" s="10"/>
      <c r="E288" s="10"/>
      <c r="F288" s="12"/>
      <c r="G288" s="10"/>
      <c r="H288" s="10"/>
      <c r="I288" s="10"/>
      <c r="J288" s="10"/>
      <c r="K288" s="10"/>
      <c r="L288" s="12"/>
      <c r="M288" s="29" t="str">
        <f t="shared" si="1"/>
        <v/>
      </c>
      <c r="N288" s="31" t="str">
        <f>IFERROR(__xludf.DUMMYFUNCTION("IF(Account!$F288&lt;&gt;"""", VALUE(REGEXREPLACE($I288, ""\,"", ""."")), """")"),"")</f>
        <v/>
      </c>
      <c r="O288" s="33" t="str">
        <f>IF(Account!$F288&lt;&gt;"", DATEVALUE(MID($A288,4,3) &amp; LEFT($A288,3) &amp; RIGHT($A288,4)) + TIMEVALUE($B288), "")</f>
        <v/>
      </c>
      <c r="P288" s="34" t="str">
        <f>IF(Account!$F288&lt;&gt;"", DATEVALUE(MID($C288,4,3) &amp; LEFT($C288,3) &amp; RIGHT($C288,4)), "")</f>
        <v/>
      </c>
      <c r="Q288" s="35" t="str">
        <f t="array" ref="Q288">IF($R288&lt;&gt;"",IFERROR(INDEX(Investment!$A:$A,MATCH($R288,Investment!$H:$H,0))),)</f>
        <v/>
      </c>
      <c r="R288" s="36" t="str">
        <f t="array" ref="R288">IF(AND($Y288="change",$H288="EUR"),IF(AND($AA288="Crédit",$O288=$O289),$R289,IF(AND($AA288="Débit",$O288=$O287),$R287)),IF(OR(AND(OR($E288&lt;&gt;"",$M288=""),$N288&lt;&gt;0),$A288=""),IFERROR(INDEX(Investment!$H:$H,MATCH($E288,Investment!$F:$F,0))),IFERROR(INDEX($R289:$R1119,MATCH(SUBSTITUTE($I288,"-","",1),$K289:$K1119,0)),INDEX($R289:$R1119,MATCH($K288,$K289:$K1119,0)))))</f>
        <v/>
      </c>
      <c r="S288" s="35" t="str">
        <f t="shared" si="2"/>
        <v/>
      </c>
      <c r="T288" s="37" t="str">
        <f t="shared" si="3"/>
        <v/>
      </c>
      <c r="U288" s="38" t="str">
        <f t="shared" si="4"/>
        <v/>
      </c>
      <c r="V288" s="31" t="str">
        <f t="shared" si="5"/>
        <v/>
      </c>
      <c r="W288" s="39" t="str">
        <f>IFERROR(__xludf.DUMMYFUNCTION(" IF(Account!$F288&lt;&gt;"""", SPLIT(Account!$F288, "" ""), """")"),"")</f>
        <v/>
      </c>
      <c r="X288" s="40"/>
      <c r="Y288" s="40"/>
      <c r="Z288" s="40"/>
      <c r="AA288" s="40"/>
      <c r="AB288" s="40"/>
      <c r="AC288" s="40"/>
      <c r="AD288" s="40"/>
      <c r="AE288" s="40"/>
      <c r="AF288" s="40"/>
      <c r="AG288" s="40"/>
      <c r="AH288" s="40"/>
      <c r="AI288" s="40"/>
      <c r="AJ288" s="40"/>
      <c r="AK288" s="40"/>
    </row>
    <row r="289">
      <c r="A289" s="10"/>
      <c r="B289" s="10"/>
      <c r="C289" s="10"/>
      <c r="D289" s="10"/>
      <c r="E289" s="10"/>
      <c r="F289" s="12"/>
      <c r="G289" s="10"/>
      <c r="H289" s="10"/>
      <c r="I289" s="10"/>
      <c r="J289" s="10"/>
      <c r="K289" s="10"/>
      <c r="L289" s="12"/>
      <c r="M289" s="29" t="str">
        <f t="shared" si="1"/>
        <v/>
      </c>
      <c r="N289" s="31" t="str">
        <f>IFERROR(__xludf.DUMMYFUNCTION("IF(Account!$F289&lt;&gt;"""", VALUE(REGEXREPLACE($I289, ""\,"", ""."")), """")"),"")</f>
        <v/>
      </c>
      <c r="O289" s="33" t="str">
        <f>IF(Account!$F289&lt;&gt;"", DATEVALUE(MID($A289,4,3) &amp; LEFT($A289,3) &amp; RIGHT($A289,4)) + TIMEVALUE($B289), "")</f>
        <v/>
      </c>
      <c r="P289" s="34" t="str">
        <f>IF(Account!$F289&lt;&gt;"", DATEVALUE(MID($C289,4,3) &amp; LEFT($C289,3) &amp; RIGHT($C289,4)), "")</f>
        <v/>
      </c>
      <c r="Q289" s="35" t="str">
        <f t="array" ref="Q289">IF($R289&lt;&gt;"",IFERROR(INDEX(Investment!$A:$A,MATCH($R289,Investment!$H:$H,0))),)</f>
        <v/>
      </c>
      <c r="R289" s="36" t="str">
        <f t="array" ref="R289">IF(AND($Y289="change",$H289="EUR"),IF(AND($AA289="Crédit",$O289=$O290),$R290,IF(AND($AA289="Débit",$O289=$O288),$R288)),IF(OR(AND(OR($E289&lt;&gt;"",$M289=""),$N289&lt;&gt;0),$A289=""),IFERROR(INDEX(Investment!$H:$H,MATCH($E289,Investment!$F:$F,0))),IFERROR(INDEX($R290:$R1119,MATCH(SUBSTITUTE($I289,"-","",1),$K290:$K1119,0)),INDEX($R290:$R1119,MATCH($K289,$K290:$K1119,0)))))</f>
        <v/>
      </c>
      <c r="S289" s="35" t="str">
        <f t="shared" si="2"/>
        <v/>
      </c>
      <c r="T289" s="37" t="str">
        <f t="shared" si="3"/>
        <v/>
      </c>
      <c r="U289" s="38" t="str">
        <f t="shared" si="4"/>
        <v/>
      </c>
      <c r="V289" s="31" t="str">
        <f t="shared" si="5"/>
        <v/>
      </c>
      <c r="W289" s="39" t="str">
        <f>IFERROR(__xludf.DUMMYFUNCTION(" IF(Account!$F289&lt;&gt;"""", SPLIT(Account!$F289, "" ""), """")"),"")</f>
        <v/>
      </c>
      <c r="X289" s="40"/>
      <c r="Y289" s="40"/>
      <c r="Z289" s="40"/>
      <c r="AA289" s="40"/>
      <c r="AB289" s="40"/>
      <c r="AC289" s="40"/>
      <c r="AD289" s="40"/>
      <c r="AE289" s="40"/>
      <c r="AF289" s="40"/>
      <c r="AG289" s="40"/>
      <c r="AH289" s="40"/>
      <c r="AI289" s="40"/>
      <c r="AJ289" s="40"/>
      <c r="AK289" s="40"/>
    </row>
    <row r="290">
      <c r="A290" s="10"/>
      <c r="B290" s="10"/>
      <c r="C290" s="10"/>
      <c r="D290" s="10"/>
      <c r="E290" s="10"/>
      <c r="F290" s="12"/>
      <c r="G290" s="10"/>
      <c r="H290" s="10"/>
      <c r="I290" s="10"/>
      <c r="J290" s="10"/>
      <c r="K290" s="10"/>
      <c r="L290" s="12"/>
      <c r="M290" s="29" t="str">
        <f t="shared" si="1"/>
        <v/>
      </c>
      <c r="N290" s="31" t="str">
        <f>IFERROR(__xludf.DUMMYFUNCTION("IF(Account!$F290&lt;&gt;"""", VALUE(REGEXREPLACE($I290, ""\,"", ""."")), """")"),"")</f>
        <v/>
      </c>
      <c r="O290" s="33" t="str">
        <f>IF(Account!$F290&lt;&gt;"", DATEVALUE(MID($A290,4,3) &amp; LEFT($A290,3) &amp; RIGHT($A290,4)) + TIMEVALUE($B290), "")</f>
        <v/>
      </c>
      <c r="P290" s="34" t="str">
        <f>IF(Account!$F290&lt;&gt;"", DATEVALUE(MID($C290,4,3) &amp; LEFT($C290,3) &amp; RIGHT($C290,4)), "")</f>
        <v/>
      </c>
      <c r="Q290" s="35" t="str">
        <f t="array" ref="Q290">IF($R290&lt;&gt;"",IFERROR(INDEX(Investment!$A:$A,MATCH($R290,Investment!$H:$H,0))),)</f>
        <v/>
      </c>
      <c r="R290" s="36" t="str">
        <f t="array" ref="R290">IF(AND($Y290="change",$H290="EUR"),IF(AND($AA290="Crédit",$O290=$O291),$R291,IF(AND($AA290="Débit",$O290=$O289),$R289)),IF(OR(AND(OR($E290&lt;&gt;"",$M290=""),$N290&lt;&gt;0),$A290=""),IFERROR(INDEX(Investment!$H:$H,MATCH($E290,Investment!$F:$F,0))),IFERROR(INDEX($R291:$R1119,MATCH(SUBSTITUTE($I290,"-","",1),$K291:$K1119,0)),INDEX($R291:$R1119,MATCH($K290,$K291:$K1119,0)))))</f>
        <v/>
      </c>
      <c r="S290" s="35" t="str">
        <f t="shared" si="2"/>
        <v/>
      </c>
      <c r="T290" s="37" t="str">
        <f t="shared" si="3"/>
        <v/>
      </c>
      <c r="U290" s="38" t="str">
        <f t="shared" si="4"/>
        <v/>
      </c>
      <c r="V290" s="31" t="str">
        <f t="shared" si="5"/>
        <v/>
      </c>
      <c r="W290" s="39" t="str">
        <f>IFERROR(__xludf.DUMMYFUNCTION(" IF(Account!$F290&lt;&gt;"""", SPLIT(Account!$F290, "" ""), """")"),"")</f>
        <v/>
      </c>
      <c r="X290" s="40"/>
      <c r="Y290" s="40"/>
      <c r="Z290" s="40"/>
      <c r="AA290" s="40"/>
      <c r="AB290" s="40"/>
      <c r="AC290" s="40"/>
      <c r="AD290" s="40"/>
      <c r="AE290" s="40"/>
      <c r="AF290" s="40"/>
      <c r="AG290" s="40"/>
      <c r="AH290" s="40"/>
      <c r="AI290" s="40"/>
      <c r="AJ290" s="40"/>
      <c r="AK290" s="40"/>
    </row>
    <row r="291">
      <c r="A291" s="10"/>
      <c r="B291" s="10"/>
      <c r="C291" s="10"/>
      <c r="D291" s="10"/>
      <c r="E291" s="10"/>
      <c r="F291" s="12"/>
      <c r="G291" s="300"/>
      <c r="H291" s="10"/>
      <c r="I291" s="10"/>
      <c r="J291" s="10"/>
      <c r="K291" s="10"/>
      <c r="L291" s="12"/>
      <c r="M291" s="29" t="str">
        <f t="shared" si="1"/>
        <v/>
      </c>
      <c r="N291" s="31" t="str">
        <f>IFERROR(__xludf.DUMMYFUNCTION("IF(Account!$F291&lt;&gt;"""", VALUE(REGEXREPLACE($I291, ""\,"", ""."")), """")"),"")</f>
        <v/>
      </c>
      <c r="O291" s="33" t="str">
        <f>IF(Account!$F291&lt;&gt;"", DATEVALUE(MID($A291,4,3) &amp; LEFT($A291,3) &amp; RIGHT($A291,4)) + TIMEVALUE($B291), "")</f>
        <v/>
      </c>
      <c r="P291" s="34" t="str">
        <f>IF(Account!$F291&lt;&gt;"", DATEVALUE(MID($C291,4,3) &amp; LEFT($C291,3) &amp; RIGHT($C291,4)), "")</f>
        <v/>
      </c>
      <c r="Q291" s="35" t="str">
        <f t="array" ref="Q291">IF($R291&lt;&gt;"",IFERROR(INDEX(Investment!$A:$A,MATCH($R291,Investment!$H:$H,0))),)</f>
        <v/>
      </c>
      <c r="R291" s="36" t="str">
        <f t="array" ref="R291">IF(AND($Y291="change",$H291="EUR"),IF(AND($AA291="Crédit",$O291=$O292),$R292,IF(AND($AA291="Débit",$O291=$O290),$R290)),IF(OR(AND(OR($E291&lt;&gt;"",$M291=""),$N291&lt;&gt;0),$A291=""),IFERROR(INDEX(Investment!$H:$H,MATCH($E291,Investment!$F:$F,0))),IFERROR(INDEX($R292:$R1119,MATCH(SUBSTITUTE($I291,"-","",1),$K292:$K1119,0)),INDEX($R292:$R1119,MATCH($K291,$K292:$K1119,0)))))</f>
        <v/>
      </c>
      <c r="S291" s="35" t="str">
        <f t="shared" si="2"/>
        <v/>
      </c>
      <c r="T291" s="37" t="str">
        <f t="shared" si="3"/>
        <v/>
      </c>
      <c r="U291" s="38" t="str">
        <f t="shared" si="4"/>
        <v/>
      </c>
      <c r="V291" s="31" t="str">
        <f t="shared" si="5"/>
        <v/>
      </c>
      <c r="W291" s="39" t="str">
        <f>IFERROR(__xludf.DUMMYFUNCTION(" IF(Account!$F291&lt;&gt;"""", SPLIT(Account!$F291, "" ""), """")"),"")</f>
        <v/>
      </c>
      <c r="X291" s="40"/>
      <c r="Y291" s="40"/>
      <c r="Z291" s="40"/>
      <c r="AA291" s="40"/>
      <c r="AB291" s="40"/>
      <c r="AC291" s="40"/>
      <c r="AD291" s="40"/>
      <c r="AE291" s="40"/>
      <c r="AF291" s="40"/>
      <c r="AG291" s="40"/>
      <c r="AH291" s="40"/>
      <c r="AI291" s="40"/>
      <c r="AJ291" s="40"/>
      <c r="AK291" s="40"/>
    </row>
    <row r="292">
      <c r="A292" s="10"/>
      <c r="B292" s="10"/>
      <c r="C292" s="10"/>
      <c r="D292" s="10"/>
      <c r="E292" s="10"/>
      <c r="F292" s="12"/>
      <c r="G292" s="10"/>
      <c r="H292" s="10"/>
      <c r="I292" s="10"/>
      <c r="J292" s="10"/>
      <c r="K292" s="10"/>
      <c r="L292" s="12"/>
      <c r="M292" s="29" t="str">
        <f t="shared" si="1"/>
        <v/>
      </c>
      <c r="N292" s="31" t="str">
        <f>IFERROR(__xludf.DUMMYFUNCTION("IF(Account!$F292&lt;&gt;"""", VALUE(REGEXREPLACE($I292, ""\,"", ""."")), """")"),"")</f>
        <v/>
      </c>
      <c r="O292" s="33" t="str">
        <f>IF(Account!$F292&lt;&gt;"", DATEVALUE(MID($A292,4,3) &amp; LEFT($A292,3) &amp; RIGHT($A292,4)) + TIMEVALUE($B292), "")</f>
        <v/>
      </c>
      <c r="P292" s="34" t="str">
        <f>IF(Account!$F292&lt;&gt;"", DATEVALUE(MID($C292,4,3) &amp; LEFT($C292,3) &amp; RIGHT($C292,4)), "")</f>
        <v/>
      </c>
      <c r="Q292" s="35" t="str">
        <f t="array" ref="Q292">IF($R292&lt;&gt;"",IFERROR(INDEX(Investment!$A:$A,MATCH($R292,Investment!$H:$H,0))),)</f>
        <v/>
      </c>
      <c r="R292" s="36" t="str">
        <f t="array" ref="R292">IF(AND($Y292="change",$H292="EUR"),IF(AND($AA292="Crédit",$O292=$O293),$R293,IF(AND($AA292="Débit",$O292=$O291),$R291)),IF(OR(AND(OR($E292&lt;&gt;"",$M292=""),$N292&lt;&gt;0),$A292=""),IFERROR(INDEX(Investment!$H:$H,MATCH($E292,Investment!$F:$F,0))),IFERROR(INDEX($R293:$R1119,MATCH(SUBSTITUTE($I292,"-","",1),$K293:$K1119,0)),INDEX($R293:$R1119,MATCH($K292,$K293:$K1119,0)))))</f>
        <v/>
      </c>
      <c r="S292" s="35" t="str">
        <f t="shared" si="2"/>
        <v/>
      </c>
      <c r="T292" s="37" t="str">
        <f t="shared" si="3"/>
        <v/>
      </c>
      <c r="U292" s="38" t="str">
        <f t="shared" si="4"/>
        <v/>
      </c>
      <c r="V292" s="31" t="str">
        <f t="shared" si="5"/>
        <v/>
      </c>
      <c r="W292" s="39" t="str">
        <f>IFERROR(__xludf.DUMMYFUNCTION(" IF(Account!$F292&lt;&gt;"""", SPLIT(Account!$F292, "" ""), """")"),"")</f>
        <v/>
      </c>
      <c r="X292" s="40"/>
      <c r="Y292" s="40"/>
      <c r="Z292" s="40"/>
      <c r="AA292" s="40"/>
      <c r="AB292" s="40"/>
      <c r="AC292" s="40"/>
      <c r="AD292" s="40"/>
      <c r="AE292" s="40"/>
      <c r="AF292" s="40"/>
      <c r="AG292" s="40"/>
      <c r="AH292" s="40"/>
      <c r="AI292" s="40"/>
      <c r="AJ292" s="40"/>
      <c r="AK292" s="40"/>
    </row>
    <row r="293">
      <c r="A293" s="10"/>
      <c r="B293" s="10"/>
      <c r="C293" s="10"/>
      <c r="D293" s="10"/>
      <c r="E293" s="10"/>
      <c r="F293" s="12"/>
      <c r="G293" s="300"/>
      <c r="H293" s="10"/>
      <c r="I293" s="10"/>
      <c r="J293" s="10"/>
      <c r="K293" s="10"/>
      <c r="L293" s="12"/>
      <c r="M293" s="29" t="str">
        <f t="shared" si="1"/>
        <v/>
      </c>
      <c r="N293" s="31" t="str">
        <f>IFERROR(__xludf.DUMMYFUNCTION("IF(Account!$F293&lt;&gt;"""", VALUE(REGEXREPLACE($I293, ""\,"", ""."")), """")"),"")</f>
        <v/>
      </c>
      <c r="O293" s="33" t="str">
        <f>IF(Account!$F293&lt;&gt;"", DATEVALUE(MID($A293,4,3) &amp; LEFT($A293,3) &amp; RIGHT($A293,4)) + TIMEVALUE($B293), "")</f>
        <v/>
      </c>
      <c r="P293" s="34" t="str">
        <f>IF(Account!$F293&lt;&gt;"", DATEVALUE(MID($C293,4,3) &amp; LEFT($C293,3) &amp; RIGHT($C293,4)), "")</f>
        <v/>
      </c>
      <c r="Q293" s="35" t="str">
        <f t="array" ref="Q293">IF($R293&lt;&gt;"",IFERROR(INDEX(Investment!$A:$A,MATCH($R293,Investment!$H:$H,0))),)</f>
        <v/>
      </c>
      <c r="R293" s="36" t="str">
        <f t="array" ref="R293">IF(AND($Y293="change",$H293="EUR"),IF(AND($AA293="Crédit",$O293=$O294),$R294,IF(AND($AA293="Débit",$O293=$O292),$R292)),IF(OR(AND(OR($E293&lt;&gt;"",$M293=""),$N293&lt;&gt;0),$A293=""),IFERROR(INDEX(Investment!$H:$H,MATCH($E293,Investment!$F:$F,0))),IFERROR(INDEX($R294:$R1119,MATCH(SUBSTITUTE($I293,"-","",1),$K294:$K1119,0)),INDEX($R294:$R1119,MATCH($K293,$K294:$K1119,0)))))</f>
        <v/>
      </c>
      <c r="S293" s="35" t="str">
        <f t="shared" si="2"/>
        <v/>
      </c>
      <c r="T293" s="37" t="str">
        <f t="shared" si="3"/>
        <v/>
      </c>
      <c r="U293" s="38" t="str">
        <f t="shared" si="4"/>
        <v/>
      </c>
      <c r="V293" s="31" t="str">
        <f t="shared" si="5"/>
        <v/>
      </c>
      <c r="W293" s="39" t="str">
        <f>IFERROR(__xludf.DUMMYFUNCTION(" IF(Account!$F293&lt;&gt;"""", SPLIT(Account!$F293, "" ""), """")"),"")</f>
        <v/>
      </c>
      <c r="X293" s="40"/>
      <c r="Y293" s="40"/>
      <c r="Z293" s="40"/>
      <c r="AA293" s="40"/>
      <c r="AB293" s="40"/>
      <c r="AC293" s="40"/>
      <c r="AD293" s="40"/>
      <c r="AE293" s="40"/>
      <c r="AF293" s="40"/>
      <c r="AG293" s="40"/>
      <c r="AH293" s="40"/>
      <c r="AI293" s="40"/>
      <c r="AJ293" s="40"/>
      <c r="AK293" s="40"/>
    </row>
    <row r="294">
      <c r="A294" s="10"/>
      <c r="B294" s="10"/>
      <c r="C294" s="10"/>
      <c r="D294" s="10"/>
      <c r="E294" s="10"/>
      <c r="F294" s="12"/>
      <c r="G294" s="10"/>
      <c r="H294" s="10"/>
      <c r="I294" s="10"/>
      <c r="J294" s="10"/>
      <c r="K294" s="10"/>
      <c r="L294" s="12"/>
      <c r="M294" s="29" t="str">
        <f t="shared" si="1"/>
        <v/>
      </c>
      <c r="N294" s="31" t="str">
        <f>IFERROR(__xludf.DUMMYFUNCTION("IF(Account!$F294&lt;&gt;"""", VALUE(REGEXREPLACE($I294, ""\,"", ""."")), """")"),"")</f>
        <v/>
      </c>
      <c r="O294" s="33" t="str">
        <f>IF(Account!$F294&lt;&gt;"", DATEVALUE(MID($A294,4,3) &amp; LEFT($A294,3) &amp; RIGHT($A294,4)) + TIMEVALUE($B294), "")</f>
        <v/>
      </c>
      <c r="P294" s="34" t="str">
        <f>IF(Account!$F294&lt;&gt;"", DATEVALUE(MID($C294,4,3) &amp; LEFT($C294,3) &amp; RIGHT($C294,4)), "")</f>
        <v/>
      </c>
      <c r="Q294" s="35" t="str">
        <f t="array" ref="Q294">IF($R294&lt;&gt;"",IFERROR(INDEX(Investment!$A:$A,MATCH($R294,Investment!$H:$H,0))),)</f>
        <v/>
      </c>
      <c r="R294" s="36" t="str">
        <f t="array" ref="R294">IF(AND($Y294="change",$H294="EUR"),IF(AND($AA294="Crédit",$O294=$O295),$R295,IF(AND($AA294="Débit",$O294=$O293),$R293)),IF(OR(AND(OR($E294&lt;&gt;"",$M294=""),$N294&lt;&gt;0),$A294=""),IFERROR(INDEX(Investment!$H:$H,MATCH($E294,Investment!$F:$F,0))),IFERROR(INDEX($R295:$R1119,MATCH(SUBSTITUTE($I294,"-","",1),$K295:$K1119,0)),INDEX($R295:$R1119,MATCH($K294,$K295:$K1119,0)))))</f>
        <v/>
      </c>
      <c r="S294" s="35" t="str">
        <f t="shared" si="2"/>
        <v/>
      </c>
      <c r="T294" s="37" t="str">
        <f t="shared" si="3"/>
        <v/>
      </c>
      <c r="U294" s="38" t="str">
        <f t="shared" si="4"/>
        <v/>
      </c>
      <c r="V294" s="31" t="str">
        <f t="shared" si="5"/>
        <v/>
      </c>
      <c r="W294" s="39" t="str">
        <f>IFERROR(__xludf.DUMMYFUNCTION(" IF(Account!$F294&lt;&gt;"""", SPLIT(Account!$F294, "" ""), """")"),"")</f>
        <v/>
      </c>
      <c r="X294" s="40"/>
      <c r="Y294" s="40"/>
      <c r="Z294" s="40"/>
      <c r="AA294" s="40"/>
      <c r="AB294" s="40"/>
      <c r="AC294" s="40"/>
      <c r="AD294" s="40"/>
      <c r="AE294" s="40"/>
      <c r="AF294" s="40"/>
      <c r="AG294" s="40"/>
      <c r="AH294" s="40"/>
      <c r="AI294" s="40"/>
      <c r="AJ294" s="40"/>
      <c r="AK294" s="40"/>
    </row>
    <row r="295">
      <c r="A295" s="10"/>
      <c r="B295" s="10"/>
      <c r="C295" s="10"/>
      <c r="D295" s="10"/>
      <c r="E295" s="10"/>
      <c r="F295" s="12"/>
      <c r="G295" s="10"/>
      <c r="H295" s="10"/>
      <c r="I295" s="10"/>
      <c r="J295" s="10"/>
      <c r="K295" s="10"/>
      <c r="L295" s="12"/>
      <c r="M295" s="29" t="str">
        <f t="shared" si="1"/>
        <v/>
      </c>
      <c r="N295" s="31" t="str">
        <f>IFERROR(__xludf.DUMMYFUNCTION("IF(Account!$F295&lt;&gt;"""", VALUE(REGEXREPLACE($I295, ""\,"", ""."")), """")"),"")</f>
        <v/>
      </c>
      <c r="O295" s="33" t="str">
        <f>IF(Account!$F295&lt;&gt;"", DATEVALUE(MID($A295,4,3) &amp; LEFT($A295,3) &amp; RIGHT($A295,4)) + TIMEVALUE($B295), "")</f>
        <v/>
      </c>
      <c r="P295" s="34" t="str">
        <f>IF(Account!$F295&lt;&gt;"", DATEVALUE(MID($C295,4,3) &amp; LEFT($C295,3) &amp; RIGHT($C295,4)), "")</f>
        <v/>
      </c>
      <c r="Q295" s="35" t="str">
        <f t="array" ref="Q295">IF($R295&lt;&gt;"",IFERROR(INDEX(Investment!$A:$A,MATCH($R295,Investment!$H:$H,0))),)</f>
        <v/>
      </c>
      <c r="R295" s="36" t="str">
        <f t="array" ref="R295">IF(AND($Y295="change",$H295="EUR"),IF(AND($AA295="Crédit",$O295=$O296),$R296,IF(AND($AA295="Débit",$O295=$O294),$R294)),IF(OR(AND(OR($E295&lt;&gt;"",$M295=""),$N295&lt;&gt;0),$A295=""),IFERROR(INDEX(Investment!$H:$H,MATCH($E295,Investment!$F:$F,0))),IFERROR(INDEX($R296:$R1119,MATCH(SUBSTITUTE($I295,"-","",1),$K296:$K1119,0)),INDEX($R296:$R1119,MATCH($K295,$K296:$K1119,0)))))</f>
        <v/>
      </c>
      <c r="S295" s="35" t="str">
        <f t="shared" si="2"/>
        <v/>
      </c>
      <c r="T295" s="37" t="str">
        <f t="shared" si="3"/>
        <v/>
      </c>
      <c r="U295" s="38" t="str">
        <f t="shared" si="4"/>
        <v/>
      </c>
      <c r="V295" s="31" t="str">
        <f t="shared" si="5"/>
        <v/>
      </c>
      <c r="W295" s="39" t="str">
        <f>IFERROR(__xludf.DUMMYFUNCTION(" IF(Account!$F295&lt;&gt;"""", SPLIT(Account!$F295, "" ""), """")"),"")</f>
        <v/>
      </c>
      <c r="X295" s="40"/>
      <c r="Y295" s="40"/>
      <c r="Z295" s="40"/>
      <c r="AA295" s="40"/>
      <c r="AB295" s="40"/>
      <c r="AC295" s="40"/>
      <c r="AD295" s="40"/>
      <c r="AE295" s="40"/>
      <c r="AF295" s="40"/>
      <c r="AG295" s="40"/>
      <c r="AH295" s="40"/>
      <c r="AI295" s="40"/>
      <c r="AJ295" s="40"/>
      <c r="AK295" s="40"/>
    </row>
    <row r="296">
      <c r="A296" s="10"/>
      <c r="B296" s="10"/>
      <c r="C296" s="10"/>
      <c r="D296" s="10"/>
      <c r="E296" s="10"/>
      <c r="F296" s="12"/>
      <c r="G296" s="10"/>
      <c r="H296" s="10"/>
      <c r="I296" s="10"/>
      <c r="J296" s="10"/>
      <c r="K296" s="10"/>
      <c r="L296" s="12"/>
      <c r="M296" s="29" t="str">
        <f t="shared" si="1"/>
        <v/>
      </c>
      <c r="N296" s="31" t="str">
        <f>IFERROR(__xludf.DUMMYFUNCTION("IF(Account!$F296&lt;&gt;"""", VALUE(REGEXREPLACE($I296, ""\,"", ""."")), """")"),"")</f>
        <v/>
      </c>
      <c r="O296" s="33" t="str">
        <f>IF(Account!$F296&lt;&gt;"", DATEVALUE(MID($A296,4,3) &amp; LEFT($A296,3) &amp; RIGHT($A296,4)) + TIMEVALUE($B296), "")</f>
        <v/>
      </c>
      <c r="P296" s="34" t="str">
        <f>IF(Account!$F296&lt;&gt;"", DATEVALUE(MID($C296,4,3) &amp; LEFT($C296,3) &amp; RIGHT($C296,4)), "")</f>
        <v/>
      </c>
      <c r="Q296" s="35" t="str">
        <f t="array" ref="Q296">IF($R296&lt;&gt;"",IFERROR(INDEX(Investment!$A:$A,MATCH($R296,Investment!$H:$H,0))),)</f>
        <v/>
      </c>
      <c r="R296" s="36" t="str">
        <f t="array" ref="R296">IF(AND($Y296="change",$H296="EUR"),IF(AND($AA296="Crédit",$O296=$O297),$R297,IF(AND($AA296="Débit",$O296=$O295),$R295)),IF(OR(AND(OR($E296&lt;&gt;"",$M296=""),$N296&lt;&gt;0),$A296=""),IFERROR(INDEX(Investment!$H:$H,MATCH($E296,Investment!$F:$F,0))),IFERROR(INDEX($R297:$R1119,MATCH(SUBSTITUTE($I296,"-","",1),$K297:$K1119,0)),INDEX($R297:$R1119,MATCH($K296,$K297:$K1119,0)))))</f>
        <v/>
      </c>
      <c r="S296" s="35" t="str">
        <f t="shared" si="2"/>
        <v/>
      </c>
      <c r="T296" s="37" t="str">
        <f t="shared" si="3"/>
        <v/>
      </c>
      <c r="U296" s="38" t="str">
        <f t="shared" si="4"/>
        <v/>
      </c>
      <c r="V296" s="31" t="str">
        <f t="shared" si="5"/>
        <v/>
      </c>
      <c r="W296" s="39" t="str">
        <f>IFERROR(__xludf.DUMMYFUNCTION(" IF(Account!$F296&lt;&gt;"""", SPLIT(Account!$F296, "" ""), """")"),"")</f>
        <v/>
      </c>
      <c r="X296" s="40"/>
      <c r="Y296" s="40"/>
      <c r="Z296" s="40"/>
      <c r="AA296" s="40"/>
      <c r="AB296" s="40"/>
      <c r="AC296" s="40"/>
      <c r="AD296" s="40"/>
      <c r="AE296" s="40"/>
      <c r="AF296" s="40"/>
      <c r="AG296" s="40"/>
      <c r="AH296" s="40"/>
      <c r="AI296" s="40"/>
      <c r="AJ296" s="40"/>
      <c r="AK296" s="40"/>
    </row>
    <row r="297">
      <c r="A297" s="10"/>
      <c r="B297" s="10"/>
      <c r="C297" s="10"/>
      <c r="D297" s="10"/>
      <c r="E297" s="10"/>
      <c r="F297" s="12"/>
      <c r="G297" s="300"/>
      <c r="H297" s="10"/>
      <c r="I297" s="10"/>
      <c r="J297" s="10"/>
      <c r="K297" s="10"/>
      <c r="L297" s="12"/>
      <c r="M297" s="29" t="str">
        <f t="shared" si="1"/>
        <v/>
      </c>
      <c r="N297" s="31" t="str">
        <f>IFERROR(__xludf.DUMMYFUNCTION("IF(Account!$F297&lt;&gt;"""", VALUE(REGEXREPLACE($I297, ""\,"", ""."")), """")"),"")</f>
        <v/>
      </c>
      <c r="O297" s="33" t="str">
        <f>IF(Account!$F297&lt;&gt;"", DATEVALUE(MID($A297,4,3) &amp; LEFT($A297,3) &amp; RIGHT($A297,4)) + TIMEVALUE($B297), "")</f>
        <v/>
      </c>
      <c r="P297" s="34" t="str">
        <f>IF(Account!$F297&lt;&gt;"", DATEVALUE(MID($C297,4,3) &amp; LEFT($C297,3) &amp; RIGHT($C297,4)), "")</f>
        <v/>
      </c>
      <c r="Q297" s="35" t="str">
        <f t="array" ref="Q297">IF($R297&lt;&gt;"",IFERROR(INDEX(Investment!$A:$A,MATCH($R297,Investment!$H:$H,0))),)</f>
        <v/>
      </c>
      <c r="R297" s="36" t="str">
        <f t="array" ref="R297">IF(AND($Y297="change",$H297="EUR"),IF(AND($AA297="Crédit",$O297=$O298),$R298,IF(AND($AA297="Débit",$O297=$O296),$R296)),IF(OR(AND(OR($E297&lt;&gt;"",$M297=""),$N297&lt;&gt;0),$A297=""),IFERROR(INDEX(Investment!$H:$H,MATCH($E297,Investment!$F:$F,0))),IFERROR(INDEX($R298:$R1119,MATCH(SUBSTITUTE($I297,"-","",1),$K298:$K1119,0)),INDEX($R298:$R1119,MATCH($K297,$K298:$K1119,0)))))</f>
        <v/>
      </c>
      <c r="S297" s="35" t="str">
        <f t="shared" si="2"/>
        <v/>
      </c>
      <c r="T297" s="37" t="str">
        <f t="shared" si="3"/>
        <v/>
      </c>
      <c r="U297" s="38" t="str">
        <f t="shared" si="4"/>
        <v/>
      </c>
      <c r="V297" s="31" t="str">
        <f t="shared" si="5"/>
        <v/>
      </c>
      <c r="W297" s="39" t="str">
        <f>IFERROR(__xludf.DUMMYFUNCTION(" IF(Account!$F297&lt;&gt;"""", SPLIT(Account!$F297, "" ""), """")"),"")</f>
        <v/>
      </c>
      <c r="X297" s="40"/>
      <c r="Y297" s="40"/>
      <c r="Z297" s="40"/>
      <c r="AA297" s="40"/>
      <c r="AB297" s="40"/>
      <c r="AC297" s="40"/>
      <c r="AD297" s="40"/>
      <c r="AE297" s="40"/>
      <c r="AF297" s="40"/>
      <c r="AG297" s="40"/>
      <c r="AH297" s="40"/>
      <c r="AI297" s="40"/>
      <c r="AJ297" s="40"/>
      <c r="AK297" s="40"/>
    </row>
    <row r="298">
      <c r="A298" s="10"/>
      <c r="B298" s="10"/>
      <c r="C298" s="10"/>
      <c r="D298" s="10"/>
      <c r="E298" s="10"/>
      <c r="F298" s="12"/>
      <c r="G298" s="10"/>
      <c r="H298" s="10"/>
      <c r="I298" s="10"/>
      <c r="J298" s="10"/>
      <c r="K298" s="10"/>
      <c r="L298" s="12"/>
      <c r="M298" s="29" t="str">
        <f t="shared" si="1"/>
        <v/>
      </c>
      <c r="N298" s="31" t="str">
        <f>IFERROR(__xludf.DUMMYFUNCTION("IF(Account!$F298&lt;&gt;"""", VALUE(REGEXREPLACE($I298, ""\,"", ""."")), """")"),"")</f>
        <v/>
      </c>
      <c r="O298" s="33" t="str">
        <f>IF(Account!$F298&lt;&gt;"", DATEVALUE(MID($A298,4,3) &amp; LEFT($A298,3) &amp; RIGHT($A298,4)) + TIMEVALUE($B298), "")</f>
        <v/>
      </c>
      <c r="P298" s="34" t="str">
        <f>IF(Account!$F298&lt;&gt;"", DATEVALUE(MID($C298,4,3) &amp; LEFT($C298,3) &amp; RIGHT($C298,4)), "")</f>
        <v/>
      </c>
      <c r="Q298" s="35" t="str">
        <f t="array" ref="Q298">IF($R298&lt;&gt;"",IFERROR(INDEX(Investment!$A:$A,MATCH($R298,Investment!$H:$H,0))),)</f>
        <v/>
      </c>
      <c r="R298" s="36" t="str">
        <f t="array" ref="R298">IF(AND($Y298="change",$H298="EUR"),IF(AND($AA298="Crédit",$O298=$O299),$R299,IF(AND($AA298="Débit",$O298=$O297),$R297)),IF(OR(AND(OR($E298&lt;&gt;"",$M298=""),$N298&lt;&gt;0),$A298=""),IFERROR(INDEX(Investment!$H:$H,MATCH($E298,Investment!$F:$F,0))),IFERROR(INDEX($R299:$R1119,MATCH(SUBSTITUTE($I298,"-","",1),$K299:$K1119,0)),INDEX($R299:$R1119,MATCH($K298,$K299:$K1119,0)))))</f>
        <v/>
      </c>
      <c r="S298" s="35" t="str">
        <f t="shared" si="2"/>
        <v/>
      </c>
      <c r="T298" s="37" t="str">
        <f t="shared" si="3"/>
        <v/>
      </c>
      <c r="U298" s="38" t="str">
        <f t="shared" si="4"/>
        <v/>
      </c>
      <c r="V298" s="31" t="str">
        <f t="shared" si="5"/>
        <v/>
      </c>
      <c r="W298" s="39" t="str">
        <f>IFERROR(__xludf.DUMMYFUNCTION(" IF(Account!$F298&lt;&gt;"""", SPLIT(Account!$F298, "" ""), """")"),"")</f>
        <v/>
      </c>
      <c r="X298" s="40"/>
      <c r="Y298" s="40"/>
      <c r="Z298" s="40"/>
      <c r="AA298" s="40"/>
      <c r="AB298" s="40"/>
      <c r="AC298" s="40"/>
      <c r="AD298" s="40"/>
      <c r="AE298" s="40"/>
      <c r="AF298" s="40"/>
      <c r="AG298" s="40"/>
      <c r="AH298" s="40"/>
      <c r="AI298" s="40"/>
      <c r="AJ298" s="40"/>
      <c r="AK298" s="40"/>
    </row>
    <row r="299">
      <c r="A299" s="10"/>
      <c r="B299" s="10"/>
      <c r="C299" s="10"/>
      <c r="D299" s="10"/>
      <c r="E299" s="10"/>
      <c r="F299" s="12"/>
      <c r="G299" s="300"/>
      <c r="H299" s="10"/>
      <c r="I299" s="10"/>
      <c r="J299" s="10"/>
      <c r="K299" s="10"/>
      <c r="L299" s="12"/>
      <c r="M299" s="29" t="str">
        <f t="shared" si="1"/>
        <v/>
      </c>
      <c r="N299" s="31" t="str">
        <f>IFERROR(__xludf.DUMMYFUNCTION("IF(Account!$F299&lt;&gt;"""", VALUE(REGEXREPLACE($I299, ""\,"", ""."")), """")"),"")</f>
        <v/>
      </c>
      <c r="O299" s="33" t="str">
        <f>IF(Account!$F299&lt;&gt;"", DATEVALUE(MID($A299,4,3) &amp; LEFT($A299,3) &amp; RIGHT($A299,4)) + TIMEVALUE($B299), "")</f>
        <v/>
      </c>
      <c r="P299" s="34" t="str">
        <f>IF(Account!$F299&lt;&gt;"", DATEVALUE(MID($C299,4,3) &amp; LEFT($C299,3) &amp; RIGHT($C299,4)), "")</f>
        <v/>
      </c>
      <c r="Q299" s="35" t="str">
        <f t="array" ref="Q299">IF($R299&lt;&gt;"",IFERROR(INDEX(Investment!$A:$A,MATCH($R299,Investment!$H:$H,0))),)</f>
        <v/>
      </c>
      <c r="R299" s="36" t="str">
        <f t="array" ref="R299">IF(AND($Y299="change",$H299="EUR"),IF(AND($AA299="Crédit",$O299=$O300),$R300,IF(AND($AA299="Débit",$O299=$O298),$R298)),IF(OR(AND(OR($E299&lt;&gt;"",$M299=""),$N299&lt;&gt;0),$A299=""),IFERROR(INDEX(Investment!$H:$H,MATCH($E299,Investment!$F:$F,0))),IFERROR(INDEX($R300:$R1119,MATCH(SUBSTITUTE($I299,"-","",1),$K300:$K1119,0)),INDEX($R300:$R1119,MATCH($K299,$K300:$K1119,0)))))</f>
        <v/>
      </c>
      <c r="S299" s="35" t="str">
        <f t="shared" si="2"/>
        <v/>
      </c>
      <c r="T299" s="37" t="str">
        <f t="shared" si="3"/>
        <v/>
      </c>
      <c r="U299" s="38" t="str">
        <f t="shared" si="4"/>
        <v/>
      </c>
      <c r="V299" s="31" t="str">
        <f t="shared" si="5"/>
        <v/>
      </c>
      <c r="W299" s="39" t="str">
        <f>IFERROR(__xludf.DUMMYFUNCTION(" IF(Account!$F299&lt;&gt;"""", SPLIT(Account!$F299, "" ""), """")"),"")</f>
        <v/>
      </c>
      <c r="X299" s="40"/>
      <c r="Y299" s="40"/>
      <c r="Z299" s="40"/>
      <c r="AA299" s="40"/>
      <c r="AB299" s="40"/>
      <c r="AC299" s="40"/>
      <c r="AD299" s="40"/>
      <c r="AE299" s="40"/>
      <c r="AF299" s="40"/>
      <c r="AG299" s="40"/>
      <c r="AH299" s="40"/>
      <c r="AI299" s="40"/>
      <c r="AJ299" s="40"/>
      <c r="AK299" s="40"/>
    </row>
    <row r="300">
      <c r="A300" s="10"/>
      <c r="B300" s="10"/>
      <c r="C300" s="10"/>
      <c r="D300" s="10"/>
      <c r="E300" s="10"/>
      <c r="F300" s="12"/>
      <c r="G300" s="10"/>
      <c r="H300" s="10"/>
      <c r="I300" s="10"/>
      <c r="J300" s="10"/>
      <c r="K300" s="10"/>
      <c r="L300" s="12"/>
      <c r="M300" s="29" t="str">
        <f t="shared" si="1"/>
        <v/>
      </c>
      <c r="N300" s="31" t="str">
        <f>IFERROR(__xludf.DUMMYFUNCTION("IF(Account!$F300&lt;&gt;"""", VALUE(REGEXREPLACE($I300, ""\,"", ""."")), """")"),"")</f>
        <v/>
      </c>
      <c r="O300" s="33" t="str">
        <f>IF(Account!$F300&lt;&gt;"", DATEVALUE(MID($A300,4,3) &amp; LEFT($A300,3) &amp; RIGHT($A300,4)) + TIMEVALUE($B300), "")</f>
        <v/>
      </c>
      <c r="P300" s="34" t="str">
        <f>IF(Account!$F300&lt;&gt;"", DATEVALUE(MID($C300,4,3) &amp; LEFT($C300,3) &amp; RIGHT($C300,4)), "")</f>
        <v/>
      </c>
      <c r="Q300" s="35" t="str">
        <f t="array" ref="Q300">IF($R300&lt;&gt;"",IFERROR(INDEX(Investment!$A:$A,MATCH($R300,Investment!$H:$H,0))),)</f>
        <v/>
      </c>
      <c r="R300" s="36" t="str">
        <f t="array" ref="R300">IF(AND($Y300="change",$H300="EUR"),IF(AND($AA300="Crédit",$O300=$O301),$R301,IF(AND($AA300="Débit",$O300=$O299),$R299)),IF(OR(AND(OR($E300&lt;&gt;"",$M300=""),$N300&lt;&gt;0),$A300=""),IFERROR(INDEX(Investment!$H:$H,MATCH($E300,Investment!$F:$F,0))),IFERROR(INDEX($R301:$R1119,MATCH(SUBSTITUTE($I300,"-","",1),$K301:$K1119,0)),INDEX($R301:$R1119,MATCH($K300,$K301:$K1119,0)))))</f>
        <v/>
      </c>
      <c r="S300" s="35" t="str">
        <f t="shared" si="2"/>
        <v/>
      </c>
      <c r="T300" s="37" t="str">
        <f t="shared" si="3"/>
        <v/>
      </c>
      <c r="U300" s="38" t="str">
        <f t="shared" si="4"/>
        <v/>
      </c>
      <c r="V300" s="31" t="str">
        <f t="shared" si="5"/>
        <v/>
      </c>
      <c r="W300" s="39" t="str">
        <f>IFERROR(__xludf.DUMMYFUNCTION(" IF(Account!$F300&lt;&gt;"""", SPLIT(Account!$F300, "" ""), """")"),"")</f>
        <v/>
      </c>
      <c r="X300" s="40"/>
      <c r="Y300" s="40"/>
      <c r="Z300" s="40"/>
      <c r="AA300" s="40"/>
      <c r="AB300" s="40"/>
      <c r="AC300" s="40"/>
      <c r="AD300" s="40"/>
      <c r="AE300" s="40"/>
      <c r="AF300" s="40"/>
      <c r="AG300" s="40"/>
      <c r="AH300" s="40"/>
      <c r="AI300" s="40"/>
      <c r="AJ300" s="40"/>
      <c r="AK300" s="40"/>
    </row>
    <row r="301">
      <c r="A301" s="10"/>
      <c r="B301" s="10"/>
      <c r="C301" s="10"/>
      <c r="D301" s="10"/>
      <c r="E301" s="10"/>
      <c r="F301" s="12"/>
      <c r="G301" s="300"/>
      <c r="H301" s="10"/>
      <c r="I301" s="10"/>
      <c r="J301" s="10"/>
      <c r="K301" s="10"/>
      <c r="L301" s="12"/>
      <c r="M301" s="29" t="str">
        <f t="shared" si="1"/>
        <v/>
      </c>
      <c r="N301" s="31" t="str">
        <f>IFERROR(__xludf.DUMMYFUNCTION("IF(Account!$F301&lt;&gt;"""", VALUE(REGEXREPLACE($I301, ""\,"", ""."")), """")"),"")</f>
        <v/>
      </c>
      <c r="O301" s="33" t="str">
        <f>IF(Account!$F301&lt;&gt;"", DATEVALUE(MID($A301,4,3) &amp; LEFT($A301,3) &amp; RIGHT($A301,4)) + TIMEVALUE($B301), "")</f>
        <v/>
      </c>
      <c r="P301" s="34" t="str">
        <f>IF(Account!$F301&lt;&gt;"", DATEVALUE(MID($C301,4,3) &amp; LEFT($C301,3) &amp; RIGHT($C301,4)), "")</f>
        <v/>
      </c>
      <c r="Q301" s="35" t="str">
        <f t="array" ref="Q301">IF($R301&lt;&gt;"",IFERROR(INDEX(Investment!$A:$A,MATCH($R301,Investment!$H:$H,0))),)</f>
        <v/>
      </c>
      <c r="R301" s="36" t="str">
        <f t="array" ref="R301">IF(AND($Y301="change",$H301="EUR"),IF(AND($AA301="Crédit",$O301=$O302),$R302,IF(AND($AA301="Débit",$O301=$O300),$R300)),IF(OR(AND(OR($E301&lt;&gt;"",$M301=""),$N301&lt;&gt;0),$A301=""),IFERROR(INDEX(Investment!$H:$H,MATCH($E301,Investment!$F:$F,0))),IFERROR(INDEX($R302:$R1119,MATCH(SUBSTITUTE($I301,"-","",1),$K302:$K1119,0)),INDEX($R302:$R1119,MATCH($K301,$K302:$K1119,0)))))</f>
        <v/>
      </c>
      <c r="S301" s="35" t="str">
        <f t="shared" si="2"/>
        <v/>
      </c>
      <c r="T301" s="37" t="str">
        <f t="shared" si="3"/>
        <v/>
      </c>
      <c r="U301" s="38" t="str">
        <f t="shared" si="4"/>
        <v/>
      </c>
      <c r="V301" s="31" t="str">
        <f t="shared" si="5"/>
        <v/>
      </c>
      <c r="W301" s="39" t="str">
        <f>IFERROR(__xludf.DUMMYFUNCTION(" IF(Account!$F301&lt;&gt;"""", SPLIT(Account!$F301, "" ""), """")"),"")</f>
        <v/>
      </c>
      <c r="X301" s="40"/>
      <c r="Y301" s="40"/>
      <c r="Z301" s="40"/>
      <c r="AA301" s="40"/>
      <c r="AB301" s="40"/>
      <c r="AC301" s="40"/>
      <c r="AD301" s="40"/>
      <c r="AE301" s="40"/>
      <c r="AF301" s="40"/>
      <c r="AG301" s="40"/>
      <c r="AH301" s="40"/>
      <c r="AI301" s="40"/>
      <c r="AJ301" s="40"/>
      <c r="AK301" s="40"/>
    </row>
    <row r="302">
      <c r="A302" s="10"/>
      <c r="B302" s="10"/>
      <c r="C302" s="10"/>
      <c r="D302" s="10"/>
      <c r="E302" s="10"/>
      <c r="F302" s="12"/>
      <c r="G302" s="10"/>
      <c r="H302" s="10"/>
      <c r="I302" s="10"/>
      <c r="J302" s="10"/>
      <c r="K302" s="10"/>
      <c r="L302" s="12"/>
      <c r="M302" s="29" t="str">
        <f t="shared" si="1"/>
        <v/>
      </c>
      <c r="N302" s="31" t="str">
        <f>IFERROR(__xludf.DUMMYFUNCTION("IF(Account!$F302&lt;&gt;"""", VALUE(REGEXREPLACE($I302, ""\,"", ""."")), """")"),"")</f>
        <v/>
      </c>
      <c r="O302" s="33" t="str">
        <f>IF(Account!$F302&lt;&gt;"", DATEVALUE(MID($A302,4,3) &amp; LEFT($A302,3) &amp; RIGHT($A302,4)) + TIMEVALUE($B302), "")</f>
        <v/>
      </c>
      <c r="P302" s="34" t="str">
        <f>IF(Account!$F302&lt;&gt;"", DATEVALUE(MID($C302,4,3) &amp; LEFT($C302,3) &amp; RIGHT($C302,4)), "")</f>
        <v/>
      </c>
      <c r="Q302" s="35" t="str">
        <f t="array" ref="Q302">IF($R302&lt;&gt;"",IFERROR(INDEX(Investment!$A:$A,MATCH($R302,Investment!$H:$H,0))),)</f>
        <v/>
      </c>
      <c r="R302" s="36" t="str">
        <f t="array" ref="R302">IF(AND($Y302="change",$H302="EUR"),IF(AND($AA302="Crédit",$O302=$O303),$R303,IF(AND($AA302="Débit",$O302=$O301),$R301)),IF(OR(AND(OR($E302&lt;&gt;"",$M302=""),$N302&lt;&gt;0),$A302=""),IFERROR(INDEX(Investment!$H:$H,MATCH($E302,Investment!$F:$F,0))),IFERROR(INDEX($R303:$R1119,MATCH(SUBSTITUTE($I302,"-","",1),$K303:$K1119,0)),INDEX($R303:$R1119,MATCH($K302,$K303:$K1119,0)))))</f>
        <v/>
      </c>
      <c r="S302" s="35" t="str">
        <f t="shared" si="2"/>
        <v/>
      </c>
      <c r="T302" s="37" t="str">
        <f t="shared" si="3"/>
        <v/>
      </c>
      <c r="U302" s="38" t="str">
        <f t="shared" si="4"/>
        <v/>
      </c>
      <c r="V302" s="31" t="str">
        <f t="shared" si="5"/>
        <v/>
      </c>
      <c r="W302" s="39" t="str">
        <f>IFERROR(__xludf.DUMMYFUNCTION(" IF(Account!$F302&lt;&gt;"""", SPLIT(Account!$F302, "" ""), """")"),"")</f>
        <v/>
      </c>
      <c r="X302" s="40"/>
      <c r="Y302" s="40"/>
      <c r="Z302" s="40"/>
      <c r="AA302" s="40"/>
      <c r="AB302" s="40"/>
      <c r="AC302" s="40"/>
      <c r="AD302" s="40"/>
      <c r="AE302" s="40"/>
      <c r="AF302" s="40"/>
      <c r="AG302" s="40"/>
      <c r="AH302" s="40"/>
      <c r="AI302" s="40"/>
      <c r="AJ302" s="40"/>
      <c r="AK302" s="40"/>
    </row>
    <row r="303">
      <c r="A303" s="10"/>
      <c r="B303" s="10"/>
      <c r="C303" s="10"/>
      <c r="D303" s="10"/>
      <c r="E303" s="10"/>
      <c r="F303" s="12"/>
      <c r="G303" s="300"/>
      <c r="H303" s="10"/>
      <c r="I303" s="10"/>
      <c r="J303" s="10"/>
      <c r="K303" s="10"/>
      <c r="L303" s="12"/>
      <c r="M303" s="29" t="str">
        <f t="shared" si="1"/>
        <v/>
      </c>
      <c r="N303" s="31" t="str">
        <f>IFERROR(__xludf.DUMMYFUNCTION("IF(Account!$F303&lt;&gt;"""", VALUE(REGEXREPLACE($I303, ""\,"", ""."")), """")"),"")</f>
        <v/>
      </c>
      <c r="O303" s="33" t="str">
        <f>IF(Account!$F303&lt;&gt;"", DATEVALUE(MID($A303,4,3) &amp; LEFT($A303,3) &amp; RIGHT($A303,4)) + TIMEVALUE($B303), "")</f>
        <v/>
      </c>
      <c r="P303" s="34" t="str">
        <f>IF(Account!$F303&lt;&gt;"", DATEVALUE(MID($C303,4,3) &amp; LEFT($C303,3) &amp; RIGHT($C303,4)), "")</f>
        <v/>
      </c>
      <c r="Q303" s="35" t="str">
        <f t="array" ref="Q303">IF($R303&lt;&gt;"",IFERROR(INDEX(Investment!$A:$A,MATCH($R303,Investment!$H:$H,0))),)</f>
        <v/>
      </c>
      <c r="R303" s="36" t="str">
        <f t="array" ref="R303">IF(AND($Y303="change",$H303="EUR"),IF(AND($AA303="Crédit",$O303=$O304),$R304,IF(AND($AA303="Débit",$O303=$O302),$R302)),IF(OR(AND(OR($E303&lt;&gt;"",$M303=""),$N303&lt;&gt;0),$A303=""),IFERROR(INDEX(Investment!$H:$H,MATCH($E303,Investment!$F:$F,0))),IFERROR(INDEX($R304:$R1119,MATCH(SUBSTITUTE($I303,"-","",1),$K304:$K1119,0)),INDEX($R304:$R1119,MATCH($K303,$K304:$K1119,0)))))</f>
        <v/>
      </c>
      <c r="S303" s="35" t="str">
        <f t="shared" si="2"/>
        <v/>
      </c>
      <c r="T303" s="37" t="str">
        <f t="shared" si="3"/>
        <v/>
      </c>
      <c r="U303" s="38" t="str">
        <f t="shared" si="4"/>
        <v/>
      </c>
      <c r="V303" s="31" t="str">
        <f t="shared" si="5"/>
        <v/>
      </c>
      <c r="W303" s="39" t="str">
        <f>IFERROR(__xludf.DUMMYFUNCTION(" IF(Account!$F303&lt;&gt;"""", SPLIT(Account!$F303, "" ""), """")"),"")</f>
        <v/>
      </c>
      <c r="X303" s="40"/>
      <c r="Y303" s="40"/>
      <c r="Z303" s="40"/>
      <c r="AA303" s="40"/>
      <c r="AB303" s="40"/>
      <c r="AC303" s="40"/>
      <c r="AD303" s="40"/>
      <c r="AE303" s="40"/>
      <c r="AF303" s="40"/>
      <c r="AG303" s="40"/>
      <c r="AH303" s="40"/>
      <c r="AI303" s="40"/>
      <c r="AJ303" s="40"/>
      <c r="AK303" s="40"/>
    </row>
    <row r="304">
      <c r="A304" s="10"/>
      <c r="B304" s="10"/>
      <c r="C304" s="10"/>
      <c r="D304" s="10"/>
      <c r="E304" s="10"/>
      <c r="F304" s="12"/>
      <c r="G304" s="10"/>
      <c r="H304" s="10"/>
      <c r="I304" s="10"/>
      <c r="J304" s="10"/>
      <c r="K304" s="10"/>
      <c r="L304" s="12"/>
      <c r="M304" s="29" t="str">
        <f t="shared" si="1"/>
        <v/>
      </c>
      <c r="N304" s="31" t="str">
        <f>IFERROR(__xludf.DUMMYFUNCTION("IF(Account!$F304&lt;&gt;"""", VALUE(REGEXREPLACE($I304, ""\,"", ""."")), """")"),"")</f>
        <v/>
      </c>
      <c r="O304" s="33" t="str">
        <f>IF(Account!$F304&lt;&gt;"", DATEVALUE(MID($A304,4,3) &amp; LEFT($A304,3) &amp; RIGHT($A304,4)) + TIMEVALUE($B304), "")</f>
        <v/>
      </c>
      <c r="P304" s="34" t="str">
        <f>IF(Account!$F304&lt;&gt;"", DATEVALUE(MID($C304,4,3) &amp; LEFT($C304,3) &amp; RIGHT($C304,4)), "")</f>
        <v/>
      </c>
      <c r="Q304" s="35" t="str">
        <f t="array" ref="Q304">IF($R304&lt;&gt;"",IFERROR(INDEX(Investment!$A:$A,MATCH($R304,Investment!$H:$H,0))),)</f>
        <v/>
      </c>
      <c r="R304" s="36" t="str">
        <f t="array" ref="R304">IF(AND($Y304="change",$H304="EUR"),IF(AND($AA304="Crédit",$O304=$O305),$R305,IF(AND($AA304="Débit",$O304=$O303),$R303)),IF(OR(AND(OR($E304&lt;&gt;"",$M304=""),$N304&lt;&gt;0),$A304=""),IFERROR(INDEX(Investment!$H:$H,MATCH($E304,Investment!$F:$F,0))),IFERROR(INDEX($R305:$R1119,MATCH(SUBSTITUTE($I304,"-","",1),$K305:$K1119,0)),INDEX($R305:$R1119,MATCH($K304,$K305:$K1119,0)))))</f>
        <v/>
      </c>
      <c r="S304" s="35" t="str">
        <f t="shared" si="2"/>
        <v/>
      </c>
      <c r="T304" s="37" t="str">
        <f t="shared" si="3"/>
        <v/>
      </c>
      <c r="U304" s="38" t="str">
        <f t="shared" si="4"/>
        <v/>
      </c>
      <c r="V304" s="31" t="str">
        <f t="shared" si="5"/>
        <v/>
      </c>
      <c r="W304" s="39" t="str">
        <f>IFERROR(__xludf.DUMMYFUNCTION(" IF(Account!$F304&lt;&gt;"""", SPLIT(Account!$F304, "" ""), """")"),"")</f>
        <v/>
      </c>
      <c r="X304" s="40"/>
      <c r="Y304" s="40"/>
      <c r="Z304" s="40"/>
      <c r="AA304" s="40"/>
      <c r="AB304" s="40"/>
      <c r="AC304" s="40"/>
      <c r="AD304" s="40"/>
      <c r="AE304" s="40"/>
      <c r="AF304" s="40"/>
      <c r="AG304" s="40"/>
      <c r="AH304" s="40"/>
      <c r="AI304" s="40"/>
      <c r="AJ304" s="40"/>
      <c r="AK304" s="40"/>
    </row>
    <row r="305">
      <c r="A305" s="10"/>
      <c r="B305" s="10"/>
      <c r="C305" s="10"/>
      <c r="D305" s="10"/>
      <c r="E305" s="10"/>
      <c r="F305" s="12"/>
      <c r="G305" s="300"/>
      <c r="H305" s="10"/>
      <c r="I305" s="10"/>
      <c r="J305" s="10"/>
      <c r="K305" s="10"/>
      <c r="L305" s="12"/>
      <c r="M305" s="29" t="str">
        <f t="shared" si="1"/>
        <v/>
      </c>
      <c r="N305" s="31" t="str">
        <f>IFERROR(__xludf.DUMMYFUNCTION("IF(Account!$F305&lt;&gt;"""", VALUE(REGEXREPLACE($I305, ""\,"", ""."")), """")"),"")</f>
        <v/>
      </c>
      <c r="O305" s="33" t="str">
        <f>IF(Account!$F305&lt;&gt;"", DATEVALUE(MID($A305,4,3) &amp; LEFT($A305,3) &amp; RIGHT($A305,4)) + TIMEVALUE($B305), "")</f>
        <v/>
      </c>
      <c r="P305" s="34" t="str">
        <f>IF(Account!$F305&lt;&gt;"", DATEVALUE(MID($C305,4,3) &amp; LEFT($C305,3) &amp; RIGHT($C305,4)), "")</f>
        <v/>
      </c>
      <c r="Q305" s="35" t="str">
        <f t="array" ref="Q305">IF($R305&lt;&gt;"",IFERROR(INDEX(Investment!$A:$A,MATCH($R305,Investment!$H:$H,0))),)</f>
        <v/>
      </c>
      <c r="R305" s="36" t="str">
        <f t="array" ref="R305">IF(AND($Y305="change",$H305="EUR"),IF(AND($AA305="Crédit",$O305=$O306),$R306,IF(AND($AA305="Débit",$O305=$O304),$R304)),IF(OR(AND(OR($E305&lt;&gt;"",$M305=""),$N305&lt;&gt;0),$A305=""),IFERROR(INDEX(Investment!$H:$H,MATCH($E305,Investment!$F:$F,0))),IFERROR(INDEX($R306:$R1119,MATCH(SUBSTITUTE($I305,"-","",1),$K306:$K1119,0)),INDEX($R306:$R1119,MATCH($K305,$K306:$K1119,0)))))</f>
        <v/>
      </c>
      <c r="S305" s="35" t="str">
        <f t="shared" si="2"/>
        <v/>
      </c>
      <c r="T305" s="37" t="str">
        <f t="shared" si="3"/>
        <v/>
      </c>
      <c r="U305" s="38" t="str">
        <f t="shared" si="4"/>
        <v/>
      </c>
      <c r="V305" s="31" t="str">
        <f t="shared" si="5"/>
        <v/>
      </c>
      <c r="W305" s="39" t="str">
        <f>IFERROR(__xludf.DUMMYFUNCTION(" IF(Account!$F305&lt;&gt;"""", SPLIT(Account!$F305, "" ""), """")"),"")</f>
        <v/>
      </c>
      <c r="X305" s="40"/>
      <c r="Y305" s="40"/>
      <c r="Z305" s="40"/>
      <c r="AA305" s="40"/>
      <c r="AB305" s="40"/>
      <c r="AC305" s="40"/>
      <c r="AD305" s="40"/>
      <c r="AE305" s="40"/>
      <c r="AF305" s="40"/>
      <c r="AG305" s="40"/>
      <c r="AH305" s="40"/>
      <c r="AI305" s="40"/>
      <c r="AJ305" s="40"/>
      <c r="AK305" s="40"/>
    </row>
    <row r="306">
      <c r="A306" s="10"/>
      <c r="B306" s="10"/>
      <c r="C306" s="10"/>
      <c r="D306" s="10"/>
      <c r="E306" s="10"/>
      <c r="F306" s="12"/>
      <c r="G306" s="10"/>
      <c r="H306" s="10"/>
      <c r="I306" s="10"/>
      <c r="J306" s="10"/>
      <c r="K306" s="10"/>
      <c r="L306" s="12"/>
      <c r="M306" s="29" t="str">
        <f t="shared" si="1"/>
        <v/>
      </c>
      <c r="N306" s="31" t="str">
        <f>IFERROR(__xludf.DUMMYFUNCTION("IF(Account!$F306&lt;&gt;"""", VALUE(REGEXREPLACE($I306, ""\,"", ""."")), """")"),"")</f>
        <v/>
      </c>
      <c r="O306" s="33" t="str">
        <f>IF(Account!$F306&lt;&gt;"", DATEVALUE(MID($A306,4,3) &amp; LEFT($A306,3) &amp; RIGHT($A306,4)) + TIMEVALUE($B306), "")</f>
        <v/>
      </c>
      <c r="P306" s="34" t="str">
        <f>IF(Account!$F306&lt;&gt;"", DATEVALUE(MID($C306,4,3) &amp; LEFT($C306,3) &amp; RIGHT($C306,4)), "")</f>
        <v/>
      </c>
      <c r="Q306" s="35" t="str">
        <f t="array" ref="Q306">IF($R306&lt;&gt;"",IFERROR(INDEX(Investment!$A:$A,MATCH($R306,Investment!$H:$H,0))),)</f>
        <v/>
      </c>
      <c r="R306" s="36" t="str">
        <f t="array" ref="R306">IF(AND($Y306="change",$H306="EUR"),IF(AND($AA306="Crédit",$O306=$O307),$R307,IF(AND($AA306="Débit",$O306=$O305),$R305)),IF(OR(AND(OR($E306&lt;&gt;"",$M306=""),$N306&lt;&gt;0),$A306=""),IFERROR(INDEX(Investment!$H:$H,MATCH($E306,Investment!$F:$F,0))),IFERROR(INDEX($R307:$R1119,MATCH(SUBSTITUTE($I306,"-","",1),$K307:$K1119,0)),INDEX($R307:$R1119,MATCH($K306,$K307:$K1119,0)))))</f>
        <v/>
      </c>
      <c r="S306" s="35" t="str">
        <f t="shared" si="2"/>
        <v/>
      </c>
      <c r="T306" s="37" t="str">
        <f t="shared" si="3"/>
        <v/>
      </c>
      <c r="U306" s="38" t="str">
        <f t="shared" si="4"/>
        <v/>
      </c>
      <c r="V306" s="31" t="str">
        <f t="shared" si="5"/>
        <v/>
      </c>
      <c r="W306" s="39" t="str">
        <f>IFERROR(__xludf.DUMMYFUNCTION(" IF(Account!$F306&lt;&gt;"""", SPLIT(Account!$F306, "" ""), """")"),"")</f>
        <v/>
      </c>
      <c r="X306" s="40"/>
      <c r="Y306" s="40"/>
      <c r="Z306" s="40"/>
      <c r="AA306" s="40"/>
      <c r="AB306" s="40"/>
      <c r="AC306" s="40"/>
      <c r="AD306" s="40"/>
      <c r="AE306" s="40"/>
      <c r="AF306" s="40"/>
      <c r="AG306" s="40"/>
      <c r="AH306" s="40"/>
      <c r="AI306" s="40"/>
      <c r="AJ306" s="40"/>
      <c r="AK306" s="40"/>
    </row>
    <row r="307">
      <c r="A307" s="10"/>
      <c r="B307" s="10"/>
      <c r="C307" s="10"/>
      <c r="D307" s="10"/>
      <c r="E307" s="10"/>
      <c r="F307" s="12"/>
      <c r="G307" s="10"/>
      <c r="H307" s="10"/>
      <c r="I307" s="10"/>
      <c r="J307" s="10"/>
      <c r="K307" s="10"/>
      <c r="L307" s="12"/>
      <c r="M307" s="29" t="str">
        <f t="shared" si="1"/>
        <v/>
      </c>
      <c r="N307" s="31" t="str">
        <f>IFERROR(__xludf.DUMMYFUNCTION("IF(Account!$F307&lt;&gt;"""", VALUE(REGEXREPLACE($I307, ""\,"", ""."")), """")"),"")</f>
        <v/>
      </c>
      <c r="O307" s="33" t="str">
        <f>IF(Account!$F307&lt;&gt;"", DATEVALUE(MID($A307,4,3) &amp; LEFT($A307,3) &amp; RIGHT($A307,4)) + TIMEVALUE($B307), "")</f>
        <v/>
      </c>
      <c r="P307" s="34" t="str">
        <f>IF(Account!$F307&lt;&gt;"", DATEVALUE(MID($C307,4,3) &amp; LEFT($C307,3) &amp; RIGHT($C307,4)), "")</f>
        <v/>
      </c>
      <c r="Q307" s="35" t="str">
        <f t="array" ref="Q307">IF($R307&lt;&gt;"",IFERROR(INDEX(Investment!$A:$A,MATCH($R307,Investment!$H:$H,0))),)</f>
        <v/>
      </c>
      <c r="R307" s="36" t="str">
        <f t="array" ref="R307">IF(AND($Y307="change",$H307="EUR"),IF(AND($AA307="Crédit",$O307=$O308),$R308,IF(AND($AA307="Débit",$O307=$O306),$R306)),IF(OR(AND(OR($E307&lt;&gt;"",$M307=""),$N307&lt;&gt;0),$A307=""),IFERROR(INDEX(Investment!$H:$H,MATCH($E307,Investment!$F:$F,0))),IFERROR(INDEX($R308:$R1119,MATCH(SUBSTITUTE($I307,"-","",1),$K308:$K1119,0)),INDEX($R308:$R1119,MATCH($K307,$K308:$K1119,0)))))</f>
        <v/>
      </c>
      <c r="S307" s="35" t="str">
        <f t="shared" si="2"/>
        <v/>
      </c>
      <c r="T307" s="37" t="str">
        <f t="shared" si="3"/>
        <v/>
      </c>
      <c r="U307" s="38" t="str">
        <f t="shared" si="4"/>
        <v/>
      </c>
      <c r="V307" s="31" t="str">
        <f t="shared" si="5"/>
        <v/>
      </c>
      <c r="W307" s="39" t="str">
        <f>IFERROR(__xludf.DUMMYFUNCTION(" IF(Account!$F307&lt;&gt;"""", SPLIT(Account!$F307, "" ""), """")"),"")</f>
        <v/>
      </c>
      <c r="X307" s="40"/>
      <c r="Y307" s="40"/>
      <c r="Z307" s="40"/>
      <c r="AA307" s="40"/>
      <c r="AB307" s="40"/>
      <c r="AC307" s="40"/>
      <c r="AD307" s="40"/>
      <c r="AE307" s="40"/>
      <c r="AF307" s="40"/>
      <c r="AG307" s="40"/>
      <c r="AH307" s="40"/>
      <c r="AI307" s="40"/>
      <c r="AJ307" s="40"/>
      <c r="AK307" s="40"/>
    </row>
    <row r="308">
      <c r="A308" s="10"/>
      <c r="B308" s="10"/>
      <c r="C308" s="10"/>
      <c r="D308" s="10"/>
      <c r="E308" s="10"/>
      <c r="F308" s="12"/>
      <c r="G308" s="10"/>
      <c r="H308" s="10"/>
      <c r="I308" s="10"/>
      <c r="J308" s="10"/>
      <c r="K308" s="10"/>
      <c r="L308" s="12"/>
      <c r="M308" s="29" t="str">
        <f t="shared" si="1"/>
        <v/>
      </c>
      <c r="N308" s="31" t="str">
        <f>IFERROR(__xludf.DUMMYFUNCTION("IF(Account!$F308&lt;&gt;"""", VALUE(REGEXREPLACE($I308, ""\,"", ""."")), """")"),"")</f>
        <v/>
      </c>
      <c r="O308" s="33" t="str">
        <f>IF(Account!$F308&lt;&gt;"", DATEVALUE(MID($A308,4,3) &amp; LEFT($A308,3) &amp; RIGHT($A308,4)) + TIMEVALUE($B308), "")</f>
        <v/>
      </c>
      <c r="P308" s="34" t="str">
        <f>IF(Account!$F308&lt;&gt;"", DATEVALUE(MID($C308,4,3) &amp; LEFT($C308,3) &amp; RIGHT($C308,4)), "")</f>
        <v/>
      </c>
      <c r="Q308" s="35" t="str">
        <f t="array" ref="Q308">IF($R308&lt;&gt;"",IFERROR(INDEX(Investment!$A:$A,MATCH($R308,Investment!$H:$H,0))),)</f>
        <v/>
      </c>
      <c r="R308" s="36" t="str">
        <f t="array" ref="R308">IF(AND($Y308="change",$H308="EUR"),IF(AND($AA308="Crédit",$O308=$O309),$R309,IF(AND($AA308="Débit",$O308=$O307),$R307)),IF(OR(AND(OR($E308&lt;&gt;"",$M308=""),$N308&lt;&gt;0),$A308=""),IFERROR(INDEX(Investment!$H:$H,MATCH($E308,Investment!$F:$F,0))),IFERROR(INDEX($R309:$R1119,MATCH(SUBSTITUTE($I308,"-","",1),$K309:$K1119,0)),INDEX($R309:$R1119,MATCH($K308,$K309:$K1119,0)))))</f>
        <v/>
      </c>
      <c r="S308" s="35" t="str">
        <f t="shared" si="2"/>
        <v/>
      </c>
      <c r="T308" s="37" t="str">
        <f t="shared" si="3"/>
        <v/>
      </c>
      <c r="U308" s="38" t="str">
        <f t="shared" si="4"/>
        <v/>
      </c>
      <c r="V308" s="31" t="str">
        <f t="shared" si="5"/>
        <v/>
      </c>
      <c r="W308" s="39" t="str">
        <f>IFERROR(__xludf.DUMMYFUNCTION(" IF(Account!$F308&lt;&gt;"""", SPLIT(Account!$F308, "" ""), """")"),"")</f>
        <v/>
      </c>
      <c r="X308" s="40"/>
      <c r="Y308" s="40"/>
      <c r="Z308" s="40"/>
      <c r="AA308" s="40"/>
      <c r="AB308" s="40"/>
      <c r="AC308" s="40"/>
      <c r="AD308" s="40"/>
      <c r="AE308" s="40"/>
      <c r="AF308" s="40"/>
      <c r="AG308" s="40"/>
      <c r="AH308" s="40"/>
      <c r="AI308" s="40"/>
      <c r="AJ308" s="40"/>
      <c r="AK308" s="40"/>
    </row>
    <row r="309">
      <c r="A309" s="10"/>
      <c r="B309" s="10"/>
      <c r="C309" s="10"/>
      <c r="D309" s="10"/>
      <c r="E309" s="10"/>
      <c r="F309" s="12"/>
      <c r="G309" s="300"/>
      <c r="H309" s="10"/>
      <c r="I309" s="10"/>
      <c r="J309" s="10"/>
      <c r="K309" s="10"/>
      <c r="L309" s="12"/>
      <c r="M309" s="29" t="str">
        <f t="shared" si="1"/>
        <v/>
      </c>
      <c r="N309" s="31" t="str">
        <f>IFERROR(__xludf.DUMMYFUNCTION("IF(Account!$F309&lt;&gt;"""", VALUE(REGEXREPLACE($I309, ""\,"", ""."")), """")"),"")</f>
        <v/>
      </c>
      <c r="O309" s="33" t="str">
        <f>IF(Account!$F309&lt;&gt;"", DATEVALUE(MID($A309,4,3) &amp; LEFT($A309,3) &amp; RIGHT($A309,4)) + TIMEVALUE($B309), "")</f>
        <v/>
      </c>
      <c r="P309" s="34" t="str">
        <f>IF(Account!$F309&lt;&gt;"", DATEVALUE(MID($C309,4,3) &amp; LEFT($C309,3) &amp; RIGHT($C309,4)), "")</f>
        <v/>
      </c>
      <c r="Q309" s="35" t="str">
        <f t="array" ref="Q309">IF($R309&lt;&gt;"",IFERROR(INDEX(Investment!$A:$A,MATCH($R309,Investment!$H:$H,0))),)</f>
        <v/>
      </c>
      <c r="R309" s="36" t="str">
        <f t="array" ref="R309">IF(AND($Y309="change",$H309="EUR"),IF(AND($AA309="Crédit",$O309=$O310),$R310,IF(AND($AA309="Débit",$O309=$O308),$R308)),IF(OR(AND(OR($E309&lt;&gt;"",$M309=""),$N309&lt;&gt;0),$A309=""),IFERROR(INDEX(Investment!$H:$H,MATCH($E309,Investment!$F:$F,0))),IFERROR(INDEX($R310:$R1119,MATCH(SUBSTITUTE($I309,"-","",1),$K310:$K1119,0)),INDEX($R310:$R1119,MATCH($K309,$K310:$K1119,0)))))</f>
        <v/>
      </c>
      <c r="S309" s="35" t="str">
        <f t="shared" si="2"/>
        <v/>
      </c>
      <c r="T309" s="37" t="str">
        <f t="shared" si="3"/>
        <v/>
      </c>
      <c r="U309" s="38" t="str">
        <f t="shared" si="4"/>
        <v/>
      </c>
      <c r="V309" s="31" t="str">
        <f t="shared" si="5"/>
        <v/>
      </c>
      <c r="W309" s="39" t="str">
        <f>IFERROR(__xludf.DUMMYFUNCTION(" IF(Account!$F309&lt;&gt;"""", SPLIT(Account!$F309, "" ""), """")"),"")</f>
        <v/>
      </c>
      <c r="X309" s="40"/>
      <c r="Y309" s="40"/>
      <c r="Z309" s="40"/>
      <c r="AA309" s="40"/>
      <c r="AB309" s="40"/>
      <c r="AC309" s="40"/>
      <c r="AD309" s="40"/>
      <c r="AE309" s="40"/>
      <c r="AF309" s="40"/>
      <c r="AG309" s="40"/>
      <c r="AH309" s="40"/>
      <c r="AI309" s="40"/>
      <c r="AJ309" s="40"/>
      <c r="AK309" s="40"/>
    </row>
    <row r="310">
      <c r="A310" s="10"/>
      <c r="B310" s="10"/>
      <c r="C310" s="10"/>
      <c r="D310" s="10"/>
      <c r="E310" s="10"/>
      <c r="F310" s="12"/>
      <c r="G310" s="300"/>
      <c r="H310" s="10"/>
      <c r="I310" s="10"/>
      <c r="J310" s="10"/>
      <c r="K310" s="10"/>
      <c r="L310" s="12"/>
      <c r="M310" s="29" t="str">
        <f t="shared" si="1"/>
        <v/>
      </c>
      <c r="N310" s="31" t="str">
        <f>IFERROR(__xludf.DUMMYFUNCTION("IF(Account!$F310&lt;&gt;"""", VALUE(REGEXREPLACE($I310, ""\,"", ""."")), """")"),"")</f>
        <v/>
      </c>
      <c r="O310" s="33" t="str">
        <f>IF(Account!$F310&lt;&gt;"", DATEVALUE(MID($A310,4,3) &amp; LEFT($A310,3) &amp; RIGHT($A310,4)) + TIMEVALUE($B310), "")</f>
        <v/>
      </c>
      <c r="P310" s="34" t="str">
        <f>IF(Account!$F310&lt;&gt;"", DATEVALUE(MID($C310,4,3) &amp; LEFT($C310,3) &amp; RIGHT($C310,4)), "")</f>
        <v/>
      </c>
      <c r="Q310" s="35" t="str">
        <f t="array" ref="Q310">IF($R310&lt;&gt;"",IFERROR(INDEX(Investment!$A:$A,MATCH($R310,Investment!$H:$H,0))),)</f>
        <v/>
      </c>
      <c r="R310" s="36" t="str">
        <f t="array" ref="R310">IF(AND($Y310="change",$H310="EUR"),IF(AND($AA310="Crédit",$O310=$O311),$R311,IF(AND($AA310="Débit",$O310=$O309),$R309)),IF(OR(AND(OR($E310&lt;&gt;"",$M310=""),$N310&lt;&gt;0),$A310=""),IFERROR(INDEX(Investment!$H:$H,MATCH($E310,Investment!$F:$F,0))),IFERROR(INDEX($R311:$R1119,MATCH(SUBSTITUTE($I310,"-","",1),$K311:$K1119,0)),INDEX($R311:$R1119,MATCH($K310,$K311:$K1119,0)))))</f>
        <v/>
      </c>
      <c r="S310" s="35" t="str">
        <f t="shared" si="2"/>
        <v/>
      </c>
      <c r="T310" s="37" t="str">
        <f t="shared" si="3"/>
        <v/>
      </c>
      <c r="U310" s="38" t="str">
        <f t="shared" si="4"/>
        <v/>
      </c>
      <c r="V310" s="31" t="str">
        <f t="shared" si="5"/>
        <v/>
      </c>
      <c r="W310" s="39" t="str">
        <f>IFERROR(__xludf.DUMMYFUNCTION(" IF(Account!$F310&lt;&gt;"""", SPLIT(Account!$F310, "" ""), """")"),"")</f>
        <v/>
      </c>
      <c r="X310" s="40"/>
      <c r="Y310" s="40"/>
      <c r="Z310" s="40"/>
      <c r="AA310" s="40"/>
      <c r="AB310" s="40"/>
      <c r="AC310" s="40"/>
      <c r="AD310" s="40"/>
      <c r="AE310" s="40"/>
      <c r="AF310" s="40"/>
      <c r="AG310" s="40"/>
      <c r="AH310" s="40"/>
      <c r="AI310" s="40"/>
      <c r="AJ310" s="40"/>
      <c r="AK310" s="40"/>
    </row>
    <row r="311">
      <c r="A311" s="10"/>
      <c r="B311" s="10"/>
      <c r="C311" s="10"/>
      <c r="D311" s="10"/>
      <c r="E311" s="10"/>
      <c r="F311" s="12"/>
      <c r="G311" s="10"/>
      <c r="H311" s="10"/>
      <c r="I311" s="10"/>
      <c r="J311" s="10"/>
      <c r="K311" s="10"/>
      <c r="L311" s="12"/>
      <c r="M311" s="29" t="str">
        <f t="shared" si="1"/>
        <v/>
      </c>
      <c r="N311" s="31" t="str">
        <f>IFERROR(__xludf.DUMMYFUNCTION("IF(Account!$F311&lt;&gt;"""", VALUE(REGEXREPLACE($I311, ""\,"", ""."")), """")"),"")</f>
        <v/>
      </c>
      <c r="O311" s="33" t="str">
        <f>IF(Account!$F311&lt;&gt;"", DATEVALUE(MID($A311,4,3) &amp; LEFT($A311,3) &amp; RIGHT($A311,4)) + TIMEVALUE($B311), "")</f>
        <v/>
      </c>
      <c r="P311" s="34" t="str">
        <f>IF(Account!$F311&lt;&gt;"", DATEVALUE(MID($C311,4,3) &amp; LEFT($C311,3) &amp; RIGHT($C311,4)), "")</f>
        <v/>
      </c>
      <c r="Q311" s="35" t="str">
        <f t="array" ref="Q311">IF($R311&lt;&gt;"",IFERROR(INDEX(Investment!$A:$A,MATCH($R311,Investment!$H:$H,0))),)</f>
        <v/>
      </c>
      <c r="R311" s="36" t="str">
        <f t="array" ref="R311">IF(AND($Y311="change",$H311="EUR"),IF(AND($AA311="Crédit",$O311=$O312),$R312,IF(AND($AA311="Débit",$O311=$O310),$R310)),IF(OR(AND(OR($E311&lt;&gt;"",$M311=""),$N311&lt;&gt;0),$A311=""),IFERROR(INDEX(Investment!$H:$H,MATCH($E311,Investment!$F:$F,0))),IFERROR(INDEX($R312:$R1119,MATCH(SUBSTITUTE($I311,"-","",1),$K312:$K1119,0)),INDEX($R312:$R1119,MATCH($K311,$K312:$K1119,0)))))</f>
        <v/>
      </c>
      <c r="S311" s="35" t="str">
        <f t="shared" si="2"/>
        <v/>
      </c>
      <c r="T311" s="37" t="str">
        <f t="shared" si="3"/>
        <v/>
      </c>
      <c r="U311" s="38" t="str">
        <f t="shared" si="4"/>
        <v/>
      </c>
      <c r="V311" s="31" t="str">
        <f t="shared" si="5"/>
        <v/>
      </c>
      <c r="W311" s="39" t="str">
        <f>IFERROR(__xludf.DUMMYFUNCTION(" IF(Account!$F311&lt;&gt;"""", SPLIT(Account!$F311, "" ""), """")"),"")</f>
        <v/>
      </c>
      <c r="X311" s="40"/>
      <c r="Y311" s="40"/>
      <c r="Z311" s="40"/>
      <c r="AA311" s="40"/>
      <c r="AB311" s="40"/>
      <c r="AC311" s="40"/>
      <c r="AD311" s="40"/>
      <c r="AE311" s="40"/>
      <c r="AF311" s="40"/>
      <c r="AG311" s="40"/>
      <c r="AH311" s="40"/>
      <c r="AI311" s="40"/>
      <c r="AJ311" s="40"/>
      <c r="AK311" s="40"/>
    </row>
    <row r="312">
      <c r="A312" s="10"/>
      <c r="B312" s="10"/>
      <c r="C312" s="10"/>
      <c r="D312" s="10"/>
      <c r="E312" s="10"/>
      <c r="F312" s="12"/>
      <c r="G312" s="300"/>
      <c r="H312" s="10"/>
      <c r="I312" s="10"/>
      <c r="J312" s="10"/>
      <c r="K312" s="10"/>
      <c r="L312" s="12"/>
      <c r="M312" s="29" t="str">
        <f t="shared" si="1"/>
        <v/>
      </c>
      <c r="N312" s="31" t="str">
        <f>IFERROR(__xludf.DUMMYFUNCTION("IF(Account!$F312&lt;&gt;"""", VALUE(REGEXREPLACE($I312, ""\,"", ""."")), """")"),"")</f>
        <v/>
      </c>
      <c r="O312" s="33" t="str">
        <f>IF(Account!$F312&lt;&gt;"", DATEVALUE(MID($A312,4,3) &amp; LEFT($A312,3) &amp; RIGHT($A312,4)) + TIMEVALUE($B312), "")</f>
        <v/>
      </c>
      <c r="P312" s="34" t="str">
        <f>IF(Account!$F312&lt;&gt;"", DATEVALUE(MID($C312,4,3) &amp; LEFT($C312,3) &amp; RIGHT($C312,4)), "")</f>
        <v/>
      </c>
      <c r="Q312" s="35" t="str">
        <f t="array" ref="Q312">IF($R312&lt;&gt;"",IFERROR(INDEX(Investment!$A:$A,MATCH($R312,Investment!$H:$H,0))),)</f>
        <v/>
      </c>
      <c r="R312" s="36" t="str">
        <f t="array" ref="R312">IF(AND($Y312="change",$H312="EUR"),IF(AND($AA312="Crédit",$O312=$O313),$R313,IF(AND($AA312="Débit",$O312=$O311),$R311)),IF(OR(AND(OR($E312&lt;&gt;"",$M312=""),$N312&lt;&gt;0),$A312=""),IFERROR(INDEX(Investment!$H:$H,MATCH($E312,Investment!$F:$F,0))),IFERROR(INDEX($R313:$R1119,MATCH(SUBSTITUTE($I312,"-","",1),$K313:$K1119,0)),INDEX($R313:$R1119,MATCH($K312,$K313:$K1119,0)))))</f>
        <v/>
      </c>
      <c r="S312" s="35" t="str">
        <f t="shared" si="2"/>
        <v/>
      </c>
      <c r="T312" s="37" t="str">
        <f t="shared" si="3"/>
        <v/>
      </c>
      <c r="U312" s="38" t="str">
        <f t="shared" si="4"/>
        <v/>
      </c>
      <c r="V312" s="31" t="str">
        <f t="shared" si="5"/>
        <v/>
      </c>
      <c r="W312" s="39" t="str">
        <f>IFERROR(__xludf.DUMMYFUNCTION(" IF(Account!$F312&lt;&gt;"""", SPLIT(Account!$F312, "" ""), """")"),"")</f>
        <v/>
      </c>
      <c r="X312" s="40"/>
      <c r="Y312" s="40"/>
      <c r="Z312" s="40"/>
      <c r="AA312" s="40"/>
      <c r="AB312" s="40"/>
      <c r="AC312" s="40"/>
      <c r="AD312" s="40"/>
      <c r="AE312" s="40"/>
      <c r="AF312" s="40"/>
      <c r="AG312" s="40"/>
      <c r="AH312" s="40"/>
      <c r="AI312" s="40"/>
      <c r="AJ312" s="40"/>
      <c r="AK312" s="40"/>
    </row>
    <row r="313">
      <c r="A313" s="10"/>
      <c r="B313" s="10"/>
      <c r="C313" s="10"/>
      <c r="D313" s="10"/>
      <c r="E313" s="10"/>
      <c r="F313" s="12"/>
      <c r="G313" s="300"/>
      <c r="H313" s="10"/>
      <c r="I313" s="10"/>
      <c r="J313" s="10"/>
      <c r="K313" s="10"/>
      <c r="L313" s="12"/>
      <c r="M313" s="29" t="str">
        <f t="shared" si="1"/>
        <v/>
      </c>
      <c r="N313" s="31" t="str">
        <f>IFERROR(__xludf.DUMMYFUNCTION("IF(Account!$F313&lt;&gt;"""", VALUE(REGEXREPLACE($I313, ""\,"", ""."")), """")"),"")</f>
        <v/>
      </c>
      <c r="O313" s="33" t="str">
        <f>IF(Account!$F313&lt;&gt;"", DATEVALUE(MID($A313,4,3) &amp; LEFT($A313,3) &amp; RIGHT($A313,4)) + TIMEVALUE($B313), "")</f>
        <v/>
      </c>
      <c r="P313" s="34" t="str">
        <f>IF(Account!$F313&lt;&gt;"", DATEVALUE(MID($C313,4,3) &amp; LEFT($C313,3) &amp; RIGHT($C313,4)), "")</f>
        <v/>
      </c>
      <c r="Q313" s="35" t="str">
        <f t="array" ref="Q313">IF($R313&lt;&gt;"",IFERROR(INDEX(Investment!$A:$A,MATCH($R313,Investment!$H:$H,0))),)</f>
        <v/>
      </c>
      <c r="R313" s="36" t="str">
        <f t="array" ref="R313">IF(AND($Y313="change",$H313="EUR"),IF(AND($AA313="Crédit",$O313=$O314),$R314,IF(AND($AA313="Débit",$O313=$O312),$R312)),IF(OR(AND(OR($E313&lt;&gt;"",$M313=""),$N313&lt;&gt;0),$A313=""),IFERROR(INDEX(Investment!$H:$H,MATCH($E313,Investment!$F:$F,0))),IFERROR(INDEX($R314:$R1119,MATCH(SUBSTITUTE($I313,"-","",1),$K314:$K1119,0)),INDEX($R314:$R1119,MATCH($K313,$K314:$K1119,0)))))</f>
        <v/>
      </c>
      <c r="S313" s="35" t="str">
        <f t="shared" si="2"/>
        <v/>
      </c>
      <c r="T313" s="37" t="str">
        <f t="shared" si="3"/>
        <v/>
      </c>
      <c r="U313" s="38" t="str">
        <f t="shared" si="4"/>
        <v/>
      </c>
      <c r="V313" s="31" t="str">
        <f t="shared" si="5"/>
        <v/>
      </c>
      <c r="W313" s="39" t="str">
        <f>IFERROR(__xludf.DUMMYFUNCTION(" IF(Account!$F313&lt;&gt;"""", SPLIT(Account!$F313, "" ""), """")"),"")</f>
        <v/>
      </c>
      <c r="X313" s="40"/>
      <c r="Y313" s="40"/>
      <c r="Z313" s="40"/>
      <c r="AA313" s="40"/>
      <c r="AB313" s="40"/>
      <c r="AC313" s="40"/>
      <c r="AD313" s="40"/>
      <c r="AE313" s="40"/>
      <c r="AF313" s="40"/>
      <c r="AG313" s="40"/>
      <c r="AH313" s="40"/>
      <c r="AI313" s="40"/>
      <c r="AJ313" s="40"/>
      <c r="AK313" s="40"/>
    </row>
    <row r="314">
      <c r="A314" s="10"/>
      <c r="B314" s="10"/>
      <c r="C314" s="10"/>
      <c r="D314" s="10"/>
      <c r="E314" s="10"/>
      <c r="F314" s="12"/>
      <c r="G314" s="300"/>
      <c r="H314" s="10"/>
      <c r="I314" s="10"/>
      <c r="J314" s="10"/>
      <c r="K314" s="10"/>
      <c r="L314" s="12"/>
      <c r="M314" s="29" t="str">
        <f t="shared" si="1"/>
        <v/>
      </c>
      <c r="N314" s="31" t="str">
        <f>IFERROR(__xludf.DUMMYFUNCTION("IF(Account!$F314&lt;&gt;"""", VALUE(REGEXREPLACE($I314, ""\,"", ""."")), """")"),"")</f>
        <v/>
      </c>
      <c r="O314" s="33" t="str">
        <f>IF(Account!$F314&lt;&gt;"", DATEVALUE(MID($A314,4,3) &amp; LEFT($A314,3) &amp; RIGHT($A314,4)) + TIMEVALUE($B314), "")</f>
        <v/>
      </c>
      <c r="P314" s="34" t="str">
        <f>IF(Account!$F314&lt;&gt;"", DATEVALUE(MID($C314,4,3) &amp; LEFT($C314,3) &amp; RIGHT($C314,4)), "")</f>
        <v/>
      </c>
      <c r="Q314" s="35" t="str">
        <f t="array" ref="Q314">IF($R314&lt;&gt;"",IFERROR(INDEX(Investment!$A:$A,MATCH($R314,Investment!$H:$H,0))),)</f>
        <v/>
      </c>
      <c r="R314" s="36" t="str">
        <f t="array" ref="R314">IF(AND($Y314="change",$H314="EUR"),IF(AND($AA314="Crédit",$O314=$O315),$R315,IF(AND($AA314="Débit",$O314=$O313),$R313)),IF(OR(AND(OR($E314&lt;&gt;"",$M314=""),$N314&lt;&gt;0),$A314=""),IFERROR(INDEX(Investment!$H:$H,MATCH($E314,Investment!$F:$F,0))),IFERROR(INDEX($R315:$R1119,MATCH(SUBSTITUTE($I314,"-","",1),$K315:$K1119,0)),INDEX($R315:$R1119,MATCH($K314,$K315:$K1119,0)))))</f>
        <v/>
      </c>
      <c r="S314" s="35" t="str">
        <f t="shared" si="2"/>
        <v/>
      </c>
      <c r="T314" s="37" t="str">
        <f t="shared" si="3"/>
        <v/>
      </c>
      <c r="U314" s="38" t="str">
        <f t="shared" si="4"/>
        <v/>
      </c>
      <c r="V314" s="31" t="str">
        <f t="shared" si="5"/>
        <v/>
      </c>
      <c r="W314" s="39" t="str">
        <f>IFERROR(__xludf.DUMMYFUNCTION(" IF(Account!$F314&lt;&gt;"""", SPLIT(Account!$F314, "" ""), """")"),"")</f>
        <v/>
      </c>
      <c r="X314" s="40"/>
      <c r="Y314" s="40"/>
      <c r="Z314" s="40"/>
      <c r="AA314" s="40"/>
      <c r="AB314" s="40"/>
      <c r="AC314" s="40"/>
      <c r="AD314" s="40"/>
      <c r="AE314" s="40"/>
      <c r="AF314" s="40"/>
      <c r="AG314" s="40"/>
      <c r="AH314" s="40"/>
      <c r="AI314" s="40"/>
      <c r="AJ314" s="40"/>
      <c r="AK314" s="40"/>
    </row>
    <row r="315">
      <c r="A315" s="10"/>
      <c r="B315" s="10"/>
      <c r="C315" s="10"/>
      <c r="D315" s="10"/>
      <c r="E315" s="10"/>
      <c r="F315" s="12"/>
      <c r="G315" s="300"/>
      <c r="H315" s="10"/>
      <c r="I315" s="10"/>
      <c r="J315" s="10"/>
      <c r="K315" s="10"/>
      <c r="L315" s="12"/>
      <c r="M315" s="29" t="str">
        <f t="shared" si="1"/>
        <v/>
      </c>
      <c r="N315" s="31" t="str">
        <f>IFERROR(__xludf.DUMMYFUNCTION("IF(Account!$F315&lt;&gt;"""", VALUE(REGEXREPLACE($I315, ""\,"", ""."")), """")"),"")</f>
        <v/>
      </c>
      <c r="O315" s="33" t="str">
        <f>IF(Account!$F315&lt;&gt;"", DATEVALUE(MID($A315,4,3) &amp; LEFT($A315,3) &amp; RIGHT($A315,4)) + TIMEVALUE($B315), "")</f>
        <v/>
      </c>
      <c r="P315" s="34" t="str">
        <f>IF(Account!$F315&lt;&gt;"", DATEVALUE(MID($C315,4,3) &amp; LEFT($C315,3) &amp; RIGHT($C315,4)), "")</f>
        <v/>
      </c>
      <c r="Q315" s="35" t="str">
        <f t="array" ref="Q315">IF($R315&lt;&gt;"",IFERROR(INDEX(Investment!$A:$A,MATCH($R315,Investment!$H:$H,0))),)</f>
        <v/>
      </c>
      <c r="R315" s="36" t="str">
        <f t="array" ref="R315">IF(AND($Y315="change",$H315="EUR"),IF(AND($AA315="Crédit",$O315=$O316),$R316,IF(AND($AA315="Débit",$O315=$O314),$R314)),IF(OR(AND(OR($E315&lt;&gt;"",$M315=""),$N315&lt;&gt;0),$A315=""),IFERROR(INDEX(Investment!$H:$H,MATCH($E315,Investment!$F:$F,0))),IFERROR(INDEX($R316:$R1119,MATCH(SUBSTITUTE($I315,"-","",1),$K316:$K1119,0)),INDEX($R316:$R1119,MATCH($K315,$K316:$K1119,0)))))</f>
        <v/>
      </c>
      <c r="S315" s="35" t="str">
        <f t="shared" si="2"/>
        <v/>
      </c>
      <c r="T315" s="37" t="str">
        <f t="shared" si="3"/>
        <v/>
      </c>
      <c r="U315" s="38" t="str">
        <f t="shared" si="4"/>
        <v/>
      </c>
      <c r="V315" s="31" t="str">
        <f t="shared" si="5"/>
        <v/>
      </c>
      <c r="W315" s="39" t="str">
        <f>IFERROR(__xludf.DUMMYFUNCTION(" IF(Account!$F315&lt;&gt;"""", SPLIT(Account!$F315, "" ""), """")"),"")</f>
        <v/>
      </c>
      <c r="X315" s="40"/>
      <c r="Y315" s="40"/>
      <c r="Z315" s="40"/>
      <c r="AA315" s="40"/>
      <c r="AB315" s="40"/>
      <c r="AC315" s="40"/>
      <c r="AD315" s="40"/>
      <c r="AE315" s="40"/>
      <c r="AF315" s="40"/>
      <c r="AG315" s="40"/>
      <c r="AH315" s="40"/>
      <c r="AI315" s="40"/>
      <c r="AJ315" s="40"/>
      <c r="AK315" s="40"/>
    </row>
    <row r="316">
      <c r="A316" s="10"/>
      <c r="B316" s="10"/>
      <c r="C316" s="10"/>
      <c r="D316" s="10"/>
      <c r="E316" s="10"/>
      <c r="F316" s="12"/>
      <c r="G316" s="300"/>
      <c r="H316" s="10"/>
      <c r="I316" s="10"/>
      <c r="J316" s="10"/>
      <c r="K316" s="10"/>
      <c r="L316" s="12"/>
      <c r="M316" s="29" t="str">
        <f t="shared" si="1"/>
        <v/>
      </c>
      <c r="N316" s="31" t="str">
        <f>IFERROR(__xludf.DUMMYFUNCTION("IF(Account!$F316&lt;&gt;"""", VALUE(REGEXREPLACE($I316, ""\,"", ""."")), """")"),"")</f>
        <v/>
      </c>
      <c r="O316" s="33" t="str">
        <f>IF(Account!$F316&lt;&gt;"", DATEVALUE(MID($A316,4,3) &amp; LEFT($A316,3) &amp; RIGHT($A316,4)) + TIMEVALUE($B316), "")</f>
        <v/>
      </c>
      <c r="P316" s="34" t="str">
        <f>IF(Account!$F316&lt;&gt;"", DATEVALUE(MID($C316,4,3) &amp; LEFT($C316,3) &amp; RIGHT($C316,4)), "")</f>
        <v/>
      </c>
      <c r="Q316" s="35" t="str">
        <f t="array" ref="Q316">IF($R316&lt;&gt;"",IFERROR(INDEX(Investment!$A:$A,MATCH($R316,Investment!$H:$H,0))),)</f>
        <v/>
      </c>
      <c r="R316" s="36" t="str">
        <f t="array" ref="R316">IF(AND($Y316="change",$H316="EUR"),IF(AND($AA316="Crédit",$O316=$O317),$R317,IF(AND($AA316="Débit",$O316=$O315),$R315)),IF(OR(AND(OR($E316&lt;&gt;"",$M316=""),$N316&lt;&gt;0),$A316=""),IFERROR(INDEX(Investment!$H:$H,MATCH($E316,Investment!$F:$F,0))),IFERROR(INDEX($R317:$R1119,MATCH(SUBSTITUTE($I316,"-","",1),$K317:$K1119,0)),INDEX($R317:$R1119,MATCH($K316,$K317:$K1119,0)))))</f>
        <v/>
      </c>
      <c r="S316" s="35" t="str">
        <f t="shared" si="2"/>
        <v/>
      </c>
      <c r="T316" s="37" t="str">
        <f t="shared" si="3"/>
        <v/>
      </c>
      <c r="U316" s="38" t="str">
        <f t="shared" si="4"/>
        <v/>
      </c>
      <c r="V316" s="31" t="str">
        <f t="shared" si="5"/>
        <v/>
      </c>
      <c r="W316" s="39" t="str">
        <f>IFERROR(__xludf.DUMMYFUNCTION(" IF(Account!$F316&lt;&gt;"""", SPLIT(Account!$F316, "" ""), """")"),"")</f>
        <v/>
      </c>
      <c r="X316" s="40"/>
      <c r="Y316" s="40"/>
      <c r="Z316" s="40"/>
      <c r="AA316" s="40"/>
      <c r="AB316" s="40"/>
      <c r="AC316" s="40"/>
      <c r="AD316" s="40"/>
      <c r="AE316" s="40"/>
      <c r="AF316" s="40"/>
      <c r="AG316" s="40"/>
      <c r="AH316" s="40"/>
      <c r="AI316" s="40"/>
      <c r="AJ316" s="40"/>
      <c r="AK316" s="40"/>
    </row>
    <row r="317">
      <c r="A317" s="10"/>
      <c r="B317" s="10"/>
      <c r="C317" s="10"/>
      <c r="D317" s="10"/>
      <c r="E317" s="10"/>
      <c r="F317" s="12"/>
      <c r="G317" s="300"/>
      <c r="H317" s="10"/>
      <c r="I317" s="10"/>
      <c r="J317" s="10"/>
      <c r="K317" s="10"/>
      <c r="L317" s="12"/>
      <c r="M317" s="29" t="str">
        <f t="shared" si="1"/>
        <v/>
      </c>
      <c r="N317" s="31" t="str">
        <f>IFERROR(__xludf.DUMMYFUNCTION("IF(Account!$F317&lt;&gt;"""", VALUE(REGEXREPLACE($I317, ""\,"", ""."")), """")"),"")</f>
        <v/>
      </c>
      <c r="O317" s="33" t="str">
        <f>IF(Account!$F317&lt;&gt;"", DATEVALUE(MID($A317,4,3) &amp; LEFT($A317,3) &amp; RIGHT($A317,4)) + TIMEVALUE($B317), "")</f>
        <v/>
      </c>
      <c r="P317" s="34" t="str">
        <f>IF(Account!$F317&lt;&gt;"", DATEVALUE(MID($C317,4,3) &amp; LEFT($C317,3) &amp; RIGHT($C317,4)), "")</f>
        <v/>
      </c>
      <c r="Q317" s="35" t="str">
        <f t="array" ref="Q317">IF($R317&lt;&gt;"",IFERROR(INDEX(Investment!$A:$A,MATCH($R317,Investment!$H:$H,0))),)</f>
        <v/>
      </c>
      <c r="R317" s="36" t="str">
        <f t="array" ref="R317">IF(AND($Y317="change",$H317="EUR"),IF(AND($AA317="Crédit",$O317=$O318),$R318,IF(AND($AA317="Débit",$O317=$O316),$R316)),IF(OR(AND(OR($E317&lt;&gt;"",$M317=""),$N317&lt;&gt;0),$A317=""),IFERROR(INDEX(Investment!$H:$H,MATCH($E317,Investment!$F:$F,0))),IFERROR(INDEX($R318:$R1119,MATCH(SUBSTITUTE($I317,"-","",1),$K318:$K1119,0)),INDEX($R318:$R1119,MATCH($K317,$K318:$K1119,0)))))</f>
        <v/>
      </c>
      <c r="S317" s="35" t="str">
        <f t="shared" si="2"/>
        <v/>
      </c>
      <c r="T317" s="37" t="str">
        <f t="shared" si="3"/>
        <v/>
      </c>
      <c r="U317" s="38" t="str">
        <f t="shared" si="4"/>
        <v/>
      </c>
      <c r="V317" s="31" t="str">
        <f t="shared" si="5"/>
        <v/>
      </c>
      <c r="W317" s="39" t="str">
        <f>IFERROR(__xludf.DUMMYFUNCTION(" IF(Account!$F317&lt;&gt;"""", SPLIT(Account!$F317, "" ""), """")"),"")</f>
        <v/>
      </c>
      <c r="X317" s="40"/>
      <c r="Y317" s="40"/>
      <c r="Z317" s="40"/>
      <c r="AA317" s="40"/>
      <c r="AB317" s="40"/>
      <c r="AC317" s="40"/>
      <c r="AD317" s="40"/>
      <c r="AE317" s="40"/>
      <c r="AF317" s="40"/>
      <c r="AG317" s="40"/>
      <c r="AH317" s="40"/>
      <c r="AI317" s="40"/>
      <c r="AJ317" s="40"/>
      <c r="AK317" s="40"/>
    </row>
    <row r="318">
      <c r="A318" s="10"/>
      <c r="B318" s="10"/>
      <c r="C318" s="10"/>
      <c r="D318" s="10"/>
      <c r="E318" s="10"/>
      <c r="F318" s="12"/>
      <c r="G318" s="300"/>
      <c r="H318" s="10"/>
      <c r="I318" s="10"/>
      <c r="J318" s="10"/>
      <c r="K318" s="10"/>
      <c r="L318" s="12"/>
      <c r="M318" s="29" t="str">
        <f t="shared" si="1"/>
        <v/>
      </c>
      <c r="N318" s="31" t="str">
        <f>IFERROR(__xludf.DUMMYFUNCTION("IF(Account!$F318&lt;&gt;"""", VALUE(REGEXREPLACE($I318, ""\,"", ""."")), """")"),"")</f>
        <v/>
      </c>
      <c r="O318" s="33" t="str">
        <f>IF(Account!$F318&lt;&gt;"", DATEVALUE(MID($A318,4,3) &amp; LEFT($A318,3) &amp; RIGHT($A318,4)) + TIMEVALUE($B318), "")</f>
        <v/>
      </c>
      <c r="P318" s="34" t="str">
        <f>IF(Account!$F318&lt;&gt;"", DATEVALUE(MID($C318,4,3) &amp; LEFT($C318,3) &amp; RIGHT($C318,4)), "")</f>
        <v/>
      </c>
      <c r="Q318" s="35" t="str">
        <f t="array" ref="Q318">IF($R318&lt;&gt;"",IFERROR(INDEX(Investment!$A:$A,MATCH($R318,Investment!$H:$H,0))),)</f>
        <v/>
      </c>
      <c r="R318" s="36" t="str">
        <f t="array" ref="R318">IF(AND($Y318="change",$H318="EUR"),IF(AND($AA318="Crédit",$O318=$O319),$R319,IF(AND($AA318="Débit",$O318=$O317),$R317)),IF(OR(AND(OR($E318&lt;&gt;"",$M318=""),$N318&lt;&gt;0),$A318=""),IFERROR(INDEX(Investment!$H:$H,MATCH($E318,Investment!$F:$F,0))),IFERROR(INDEX($R319:$R1119,MATCH(SUBSTITUTE($I318,"-","",1),$K319:$K1119,0)),INDEX($R319:$R1119,MATCH($K318,$K319:$K1119,0)))))</f>
        <v/>
      </c>
      <c r="S318" s="35" t="str">
        <f t="shared" si="2"/>
        <v/>
      </c>
      <c r="T318" s="37" t="str">
        <f t="shared" si="3"/>
        <v/>
      </c>
      <c r="U318" s="38" t="str">
        <f t="shared" si="4"/>
        <v/>
      </c>
      <c r="V318" s="31" t="str">
        <f t="shared" si="5"/>
        <v/>
      </c>
      <c r="W318" s="39" t="str">
        <f>IFERROR(__xludf.DUMMYFUNCTION(" IF(Account!$F318&lt;&gt;"""", SPLIT(Account!$F318, "" ""), """")"),"")</f>
        <v/>
      </c>
      <c r="X318" s="40"/>
      <c r="Y318" s="40"/>
      <c r="Z318" s="40"/>
      <c r="AA318" s="40"/>
      <c r="AB318" s="40"/>
      <c r="AC318" s="40"/>
      <c r="AD318" s="40"/>
      <c r="AE318" s="40"/>
      <c r="AF318" s="40"/>
      <c r="AG318" s="40"/>
      <c r="AH318" s="40"/>
      <c r="AI318" s="40"/>
      <c r="AJ318" s="40"/>
      <c r="AK318" s="40"/>
    </row>
    <row r="319">
      <c r="A319" s="10"/>
      <c r="B319" s="10"/>
      <c r="C319" s="10"/>
      <c r="D319" s="10"/>
      <c r="E319" s="10"/>
      <c r="F319" s="12"/>
      <c r="G319" s="300"/>
      <c r="H319" s="10"/>
      <c r="I319" s="10"/>
      <c r="J319" s="10"/>
      <c r="K319" s="10"/>
      <c r="L319" s="12"/>
      <c r="M319" s="29" t="str">
        <f t="shared" si="1"/>
        <v/>
      </c>
      <c r="N319" s="31" t="str">
        <f>IFERROR(__xludf.DUMMYFUNCTION("IF(Account!$F319&lt;&gt;"""", VALUE(REGEXREPLACE($I319, ""\,"", ""."")), """")"),"")</f>
        <v/>
      </c>
      <c r="O319" s="33" t="str">
        <f>IF(Account!$F319&lt;&gt;"", DATEVALUE(MID($A319,4,3) &amp; LEFT($A319,3) &amp; RIGHT($A319,4)) + TIMEVALUE($B319), "")</f>
        <v/>
      </c>
      <c r="P319" s="34" t="str">
        <f>IF(Account!$F319&lt;&gt;"", DATEVALUE(MID($C319,4,3) &amp; LEFT($C319,3) &amp; RIGHT($C319,4)), "")</f>
        <v/>
      </c>
      <c r="Q319" s="35" t="str">
        <f t="array" ref="Q319">IF($R319&lt;&gt;"",IFERROR(INDEX(Investment!$A:$A,MATCH($R319,Investment!$H:$H,0))),)</f>
        <v/>
      </c>
      <c r="R319" s="36" t="str">
        <f t="array" ref="R319">IF(AND($Y319="change",$H319="EUR"),IF(AND($AA319="Crédit",$O319=$O320),$R320,IF(AND($AA319="Débit",$O319=$O318),$R318)),IF(OR(AND(OR($E319&lt;&gt;"",$M319=""),$N319&lt;&gt;0),$A319=""),IFERROR(INDEX(Investment!$H:$H,MATCH($E319,Investment!$F:$F,0))),IFERROR(INDEX($R320:$R1119,MATCH(SUBSTITUTE($I319,"-","",1),$K320:$K1119,0)),INDEX($R320:$R1119,MATCH($K319,$K320:$K1119,0)))))</f>
        <v/>
      </c>
      <c r="S319" s="35" t="str">
        <f t="shared" si="2"/>
        <v/>
      </c>
      <c r="T319" s="37" t="str">
        <f t="shared" si="3"/>
        <v/>
      </c>
      <c r="U319" s="38" t="str">
        <f t="shared" si="4"/>
        <v/>
      </c>
      <c r="V319" s="31" t="str">
        <f t="shared" si="5"/>
        <v/>
      </c>
      <c r="W319" s="39" t="str">
        <f>IFERROR(__xludf.DUMMYFUNCTION(" IF(Account!$F319&lt;&gt;"""", SPLIT(Account!$F319, "" ""), """")"),"")</f>
        <v/>
      </c>
      <c r="X319" s="40"/>
      <c r="Y319" s="40"/>
      <c r="Z319" s="40"/>
      <c r="AA319" s="40"/>
      <c r="AB319" s="40"/>
      <c r="AC319" s="40"/>
      <c r="AD319" s="40"/>
      <c r="AE319" s="40"/>
      <c r="AF319" s="40"/>
      <c r="AG319" s="40"/>
      <c r="AH319" s="40"/>
      <c r="AI319" s="40"/>
      <c r="AJ319" s="40"/>
      <c r="AK319" s="40"/>
    </row>
    <row r="320">
      <c r="A320" s="10"/>
      <c r="B320" s="10"/>
      <c r="C320" s="10"/>
      <c r="D320" s="10"/>
      <c r="E320" s="10"/>
      <c r="F320" s="12"/>
      <c r="G320" s="300"/>
      <c r="H320" s="10"/>
      <c r="I320" s="10"/>
      <c r="J320" s="10"/>
      <c r="K320" s="10"/>
      <c r="L320" s="12"/>
      <c r="M320" s="29" t="str">
        <f t="shared" si="1"/>
        <v/>
      </c>
      <c r="N320" s="31" t="str">
        <f>IFERROR(__xludf.DUMMYFUNCTION("IF(Account!$F320&lt;&gt;"""", VALUE(REGEXREPLACE($I320, ""\,"", ""."")), """")"),"")</f>
        <v/>
      </c>
      <c r="O320" s="33" t="str">
        <f>IF(Account!$F320&lt;&gt;"", DATEVALUE(MID($A320,4,3) &amp; LEFT($A320,3) &amp; RIGHT($A320,4)) + TIMEVALUE($B320), "")</f>
        <v/>
      </c>
      <c r="P320" s="34" t="str">
        <f>IF(Account!$F320&lt;&gt;"", DATEVALUE(MID($C320,4,3) &amp; LEFT($C320,3) &amp; RIGHT($C320,4)), "")</f>
        <v/>
      </c>
      <c r="Q320" s="35" t="str">
        <f t="array" ref="Q320">IF($R320&lt;&gt;"",IFERROR(INDEX(Investment!$A:$A,MATCH($R320,Investment!$H:$H,0))),)</f>
        <v/>
      </c>
      <c r="R320" s="36" t="str">
        <f t="array" ref="R320">IF(AND($Y320="change",$H320="EUR"),IF(AND($AA320="Crédit",$O320=$O321),$R321,IF(AND($AA320="Débit",$O320=$O319),$R319)),IF(OR(AND(OR($E320&lt;&gt;"",$M320=""),$N320&lt;&gt;0),$A320=""),IFERROR(INDEX(Investment!$H:$H,MATCH($E320,Investment!$F:$F,0))),IFERROR(INDEX($R321:$R1119,MATCH(SUBSTITUTE($I320,"-","",1),$K321:$K1119,0)),INDEX($R321:$R1119,MATCH($K320,$K321:$K1119,0)))))</f>
        <v/>
      </c>
      <c r="S320" s="35" t="str">
        <f t="shared" si="2"/>
        <v/>
      </c>
      <c r="T320" s="37" t="str">
        <f t="shared" si="3"/>
        <v/>
      </c>
      <c r="U320" s="38" t="str">
        <f t="shared" si="4"/>
        <v/>
      </c>
      <c r="V320" s="31" t="str">
        <f t="shared" si="5"/>
        <v/>
      </c>
      <c r="W320" s="39" t="str">
        <f>IFERROR(__xludf.DUMMYFUNCTION(" IF(Account!$F320&lt;&gt;"""", SPLIT(Account!$F320, "" ""), """")"),"")</f>
        <v/>
      </c>
      <c r="X320" s="40"/>
      <c r="Y320" s="40"/>
      <c r="Z320" s="40"/>
      <c r="AA320" s="40"/>
      <c r="AB320" s="40"/>
      <c r="AC320" s="40"/>
      <c r="AD320" s="40"/>
      <c r="AE320" s="40"/>
      <c r="AF320" s="40"/>
      <c r="AG320" s="40"/>
      <c r="AH320" s="40"/>
      <c r="AI320" s="40"/>
      <c r="AJ320" s="40"/>
      <c r="AK320" s="40"/>
    </row>
    <row r="321">
      <c r="A321" s="10"/>
      <c r="B321" s="10"/>
      <c r="C321" s="10"/>
      <c r="D321" s="10"/>
      <c r="E321" s="10"/>
      <c r="F321" s="12"/>
      <c r="G321" s="10"/>
      <c r="H321" s="10"/>
      <c r="I321" s="10"/>
      <c r="J321" s="10"/>
      <c r="K321" s="10"/>
      <c r="L321" s="12"/>
      <c r="M321" s="29" t="str">
        <f t="shared" si="1"/>
        <v/>
      </c>
      <c r="N321" s="31" t="str">
        <f>IFERROR(__xludf.DUMMYFUNCTION("IF(Account!$F321&lt;&gt;"""", VALUE(REGEXREPLACE($I321, ""\,"", ""."")), """")"),"")</f>
        <v/>
      </c>
      <c r="O321" s="33" t="str">
        <f>IF(Account!$F321&lt;&gt;"", DATEVALUE(MID($A321,4,3) &amp; LEFT($A321,3) &amp; RIGHT($A321,4)) + TIMEVALUE($B321), "")</f>
        <v/>
      </c>
      <c r="P321" s="34" t="str">
        <f>IF(Account!$F321&lt;&gt;"", DATEVALUE(MID($C321,4,3) &amp; LEFT($C321,3) &amp; RIGHT($C321,4)), "")</f>
        <v/>
      </c>
      <c r="Q321" s="35" t="str">
        <f t="array" ref="Q321">IF($R321&lt;&gt;"",IFERROR(INDEX(Investment!$A:$A,MATCH($R321,Investment!$H:$H,0))),)</f>
        <v/>
      </c>
      <c r="R321" s="36" t="str">
        <f t="array" ref="R321">IF(AND($Y321="change",$H321="EUR"),IF(AND($AA321="Crédit",$O321=$O322),$R322,IF(AND($AA321="Débit",$O321=$O320),$R320)),IF(OR(AND(OR($E321&lt;&gt;"",$M321=""),$N321&lt;&gt;0),$A321=""),IFERROR(INDEX(Investment!$H:$H,MATCH($E321,Investment!$F:$F,0))),IFERROR(INDEX($R322:$R1119,MATCH(SUBSTITUTE($I321,"-","",1),$K322:$K1119,0)),INDEX($R322:$R1119,MATCH($K321,$K322:$K1119,0)))))</f>
        <v/>
      </c>
      <c r="S321" s="35" t="str">
        <f t="shared" si="2"/>
        <v/>
      </c>
      <c r="T321" s="37" t="str">
        <f t="shared" si="3"/>
        <v/>
      </c>
      <c r="U321" s="38" t="str">
        <f t="shared" si="4"/>
        <v/>
      </c>
      <c r="V321" s="31" t="str">
        <f t="shared" si="5"/>
        <v/>
      </c>
      <c r="W321" s="39" t="str">
        <f>IFERROR(__xludf.DUMMYFUNCTION(" IF(Account!$F321&lt;&gt;"""", SPLIT(Account!$F321, "" ""), """")"),"")</f>
        <v/>
      </c>
      <c r="X321" s="40"/>
      <c r="Y321" s="40"/>
      <c r="Z321" s="40"/>
      <c r="AA321" s="40"/>
      <c r="AB321" s="40"/>
      <c r="AC321" s="40"/>
      <c r="AD321" s="40"/>
      <c r="AE321" s="40"/>
      <c r="AF321" s="40"/>
      <c r="AG321" s="40"/>
      <c r="AH321" s="40"/>
      <c r="AI321" s="40"/>
      <c r="AJ321" s="40"/>
      <c r="AK321" s="40"/>
    </row>
    <row r="322">
      <c r="A322" s="10"/>
      <c r="B322" s="10"/>
      <c r="C322" s="10"/>
      <c r="D322" s="10"/>
      <c r="E322" s="10"/>
      <c r="F322" s="12"/>
      <c r="G322" s="300"/>
      <c r="H322" s="10"/>
      <c r="I322" s="10"/>
      <c r="J322" s="10"/>
      <c r="K322" s="10"/>
      <c r="L322" s="12"/>
      <c r="M322" s="29" t="str">
        <f t="shared" si="1"/>
        <v/>
      </c>
      <c r="N322" s="31" t="str">
        <f>IFERROR(__xludf.DUMMYFUNCTION("IF(Account!$F322&lt;&gt;"""", VALUE(REGEXREPLACE($I322, ""\,"", ""."")), """")"),"")</f>
        <v/>
      </c>
      <c r="O322" s="33" t="str">
        <f>IF(Account!$F322&lt;&gt;"", DATEVALUE(MID($A322,4,3) &amp; LEFT($A322,3) &amp; RIGHT($A322,4)) + TIMEVALUE($B322), "")</f>
        <v/>
      </c>
      <c r="P322" s="34" t="str">
        <f>IF(Account!$F322&lt;&gt;"", DATEVALUE(MID($C322,4,3) &amp; LEFT($C322,3) &amp; RIGHT($C322,4)), "")</f>
        <v/>
      </c>
      <c r="Q322" s="35" t="str">
        <f t="array" ref="Q322">IF($R322&lt;&gt;"",IFERROR(INDEX(Investment!$A:$A,MATCH($R322,Investment!$H:$H,0))),)</f>
        <v/>
      </c>
      <c r="R322" s="36" t="str">
        <f t="array" ref="R322">IF(AND($Y322="change",$H322="EUR"),IF(AND($AA322="Crédit",$O322=$O323),$R323,IF(AND($AA322="Débit",$O322=$O321),$R321)),IF(OR(AND(OR($E322&lt;&gt;"",$M322=""),$N322&lt;&gt;0),$A322=""),IFERROR(INDEX(Investment!$H:$H,MATCH($E322,Investment!$F:$F,0))),IFERROR(INDEX($R323:$R1119,MATCH(SUBSTITUTE($I322,"-","",1),$K323:$K1119,0)),INDEX($R323:$R1119,MATCH($K322,$K323:$K1119,0)))))</f>
        <v/>
      </c>
      <c r="S322" s="35" t="str">
        <f t="shared" si="2"/>
        <v/>
      </c>
      <c r="T322" s="37" t="str">
        <f t="shared" si="3"/>
        <v/>
      </c>
      <c r="U322" s="38" t="str">
        <f t="shared" si="4"/>
        <v/>
      </c>
      <c r="V322" s="31" t="str">
        <f t="shared" si="5"/>
        <v/>
      </c>
      <c r="W322" s="39" t="str">
        <f>IFERROR(__xludf.DUMMYFUNCTION(" IF(Account!$F322&lt;&gt;"""", SPLIT(Account!$F322, "" ""), """")"),"")</f>
        <v/>
      </c>
      <c r="X322" s="40"/>
      <c r="Y322" s="40"/>
      <c r="Z322" s="40"/>
      <c r="AA322" s="40"/>
      <c r="AB322" s="40"/>
      <c r="AC322" s="40"/>
      <c r="AD322" s="40"/>
      <c r="AE322" s="40"/>
      <c r="AF322" s="40"/>
      <c r="AG322" s="40"/>
      <c r="AH322" s="40"/>
      <c r="AI322" s="40"/>
      <c r="AJ322" s="40"/>
      <c r="AK322" s="40"/>
    </row>
    <row r="323">
      <c r="A323" s="10"/>
      <c r="B323" s="10"/>
      <c r="C323" s="10"/>
      <c r="D323" s="10"/>
      <c r="E323" s="10"/>
      <c r="F323" s="12"/>
      <c r="G323" s="10"/>
      <c r="H323" s="10"/>
      <c r="I323" s="10"/>
      <c r="J323" s="10"/>
      <c r="K323" s="10"/>
      <c r="L323" s="12"/>
      <c r="M323" s="29" t="str">
        <f t="shared" si="1"/>
        <v/>
      </c>
      <c r="N323" s="31" t="str">
        <f>IFERROR(__xludf.DUMMYFUNCTION("IF(Account!$F323&lt;&gt;"""", VALUE(REGEXREPLACE($I323, ""\,"", ""."")), """")"),"")</f>
        <v/>
      </c>
      <c r="O323" s="33" t="str">
        <f>IF(Account!$F323&lt;&gt;"", DATEVALUE(MID($A323,4,3) &amp; LEFT($A323,3) &amp; RIGHT($A323,4)) + TIMEVALUE($B323), "")</f>
        <v/>
      </c>
      <c r="P323" s="34" t="str">
        <f>IF(Account!$F323&lt;&gt;"", DATEVALUE(MID($C323,4,3) &amp; LEFT($C323,3) &amp; RIGHT($C323,4)), "")</f>
        <v/>
      </c>
      <c r="Q323" s="35" t="str">
        <f t="array" ref="Q323">IF($R323&lt;&gt;"",IFERROR(INDEX(Investment!$A:$A,MATCH($R323,Investment!$H:$H,0))),)</f>
        <v/>
      </c>
      <c r="R323" s="36" t="str">
        <f t="array" ref="R323">IF(AND($Y323="change",$H323="EUR"),IF(AND($AA323="Crédit",$O323=$O324),$R324,IF(AND($AA323="Débit",$O323=$O322),$R322)),IF(OR(AND(OR($E323&lt;&gt;"",$M323=""),$N323&lt;&gt;0),$A323=""),IFERROR(INDEX(Investment!$H:$H,MATCH($E323,Investment!$F:$F,0))),IFERROR(INDEX($R324:$R1119,MATCH(SUBSTITUTE($I323,"-","",1),$K324:$K1119,0)),INDEX($R324:$R1119,MATCH($K323,$K324:$K1119,0)))))</f>
        <v/>
      </c>
      <c r="S323" s="35" t="str">
        <f t="shared" si="2"/>
        <v/>
      </c>
      <c r="T323" s="37" t="str">
        <f t="shared" si="3"/>
        <v/>
      </c>
      <c r="U323" s="38" t="str">
        <f t="shared" si="4"/>
        <v/>
      </c>
      <c r="V323" s="31" t="str">
        <f t="shared" si="5"/>
        <v/>
      </c>
      <c r="W323" s="39" t="str">
        <f>IFERROR(__xludf.DUMMYFUNCTION(" IF(Account!$F323&lt;&gt;"""", SPLIT(Account!$F323, "" ""), """")"),"")</f>
        <v/>
      </c>
      <c r="X323" s="40"/>
      <c r="Y323" s="40"/>
      <c r="Z323" s="40"/>
      <c r="AA323" s="40"/>
      <c r="AB323" s="40"/>
      <c r="AC323" s="40"/>
      <c r="AD323" s="40"/>
      <c r="AE323" s="40"/>
      <c r="AF323" s="40"/>
      <c r="AG323" s="40"/>
      <c r="AH323" s="40"/>
      <c r="AI323" s="40"/>
      <c r="AJ323" s="40"/>
      <c r="AK323" s="40"/>
    </row>
    <row r="324">
      <c r="A324" s="10"/>
      <c r="B324" s="10"/>
      <c r="C324" s="10"/>
      <c r="D324" s="10"/>
      <c r="E324" s="10"/>
      <c r="F324" s="12"/>
      <c r="G324" s="10"/>
      <c r="H324" s="10"/>
      <c r="I324" s="10"/>
      <c r="J324" s="10"/>
      <c r="K324" s="10"/>
      <c r="L324" s="12"/>
      <c r="M324" s="29" t="str">
        <f t="shared" si="1"/>
        <v/>
      </c>
      <c r="N324" s="31" t="str">
        <f>IFERROR(__xludf.DUMMYFUNCTION("IF(Account!$F324&lt;&gt;"""", VALUE(REGEXREPLACE($I324, ""\,"", ""."")), """")"),"")</f>
        <v/>
      </c>
      <c r="O324" s="33" t="str">
        <f>IF(Account!$F324&lt;&gt;"", DATEVALUE(MID($A324,4,3) &amp; LEFT($A324,3) &amp; RIGHT($A324,4)) + TIMEVALUE($B324), "")</f>
        <v/>
      </c>
      <c r="P324" s="34" t="str">
        <f>IF(Account!$F324&lt;&gt;"", DATEVALUE(MID($C324,4,3) &amp; LEFT($C324,3) &amp; RIGHT($C324,4)), "")</f>
        <v/>
      </c>
      <c r="Q324" s="35" t="str">
        <f t="array" ref="Q324">IF($R324&lt;&gt;"",IFERROR(INDEX(Investment!$A:$A,MATCH($R324,Investment!$H:$H,0))),)</f>
        <v/>
      </c>
      <c r="R324" s="36" t="str">
        <f t="array" ref="R324">IF(AND($Y324="change",$H324="EUR"),IF(AND($AA324="Crédit",$O324=$O325),$R325,IF(AND($AA324="Débit",$O324=$O323),$R323)),IF(OR(AND(OR($E324&lt;&gt;"",$M324=""),$N324&lt;&gt;0),$A324=""),IFERROR(INDEX(Investment!$H:$H,MATCH($E324,Investment!$F:$F,0))),IFERROR(INDEX($R325:$R1119,MATCH(SUBSTITUTE($I324,"-","",1),$K325:$K1119,0)),INDEX($R325:$R1119,MATCH($K324,$K325:$K1119,0)))))</f>
        <v/>
      </c>
      <c r="S324" s="35" t="str">
        <f t="shared" si="2"/>
        <v/>
      </c>
      <c r="T324" s="37" t="str">
        <f t="shared" si="3"/>
        <v/>
      </c>
      <c r="U324" s="38" t="str">
        <f t="shared" si="4"/>
        <v/>
      </c>
      <c r="V324" s="31" t="str">
        <f t="shared" si="5"/>
        <v/>
      </c>
      <c r="W324" s="39" t="str">
        <f>IFERROR(__xludf.DUMMYFUNCTION(" IF(Account!$F324&lt;&gt;"""", SPLIT(Account!$F324, "" ""), """")"),"")</f>
        <v/>
      </c>
      <c r="X324" s="40"/>
      <c r="Y324" s="40"/>
      <c r="Z324" s="40"/>
      <c r="AA324" s="40"/>
      <c r="AB324" s="40"/>
      <c r="AC324" s="40"/>
      <c r="AD324" s="40"/>
      <c r="AE324" s="40"/>
      <c r="AF324" s="40"/>
      <c r="AG324" s="40"/>
      <c r="AH324" s="40"/>
      <c r="AI324" s="40"/>
      <c r="AJ324" s="40"/>
      <c r="AK324" s="40"/>
    </row>
    <row r="325">
      <c r="A325" s="10"/>
      <c r="B325" s="10"/>
      <c r="C325" s="10"/>
      <c r="D325" s="10"/>
      <c r="E325" s="10"/>
      <c r="F325" s="12"/>
      <c r="G325" s="10"/>
      <c r="H325" s="10"/>
      <c r="I325" s="10"/>
      <c r="J325" s="10"/>
      <c r="K325" s="10"/>
      <c r="L325" s="12"/>
      <c r="M325" s="29" t="str">
        <f t="shared" si="1"/>
        <v/>
      </c>
      <c r="N325" s="31" t="str">
        <f>IFERROR(__xludf.DUMMYFUNCTION("IF(Account!$F325&lt;&gt;"""", VALUE(REGEXREPLACE($I325, ""\,"", ""."")), """")"),"")</f>
        <v/>
      </c>
      <c r="O325" s="33" t="str">
        <f>IF(Account!$F325&lt;&gt;"", DATEVALUE(MID($A325,4,3) &amp; LEFT($A325,3) &amp; RIGHT($A325,4)) + TIMEVALUE($B325), "")</f>
        <v/>
      </c>
      <c r="P325" s="34" t="str">
        <f>IF(Account!$F325&lt;&gt;"", DATEVALUE(MID($C325,4,3) &amp; LEFT($C325,3) &amp; RIGHT($C325,4)), "")</f>
        <v/>
      </c>
      <c r="Q325" s="35" t="str">
        <f t="array" ref="Q325">IF($R325&lt;&gt;"",IFERROR(INDEX(Investment!$A:$A,MATCH($R325,Investment!$H:$H,0))),)</f>
        <v/>
      </c>
      <c r="R325" s="36" t="str">
        <f t="array" ref="R325">IF(AND($Y325="change",$H325="EUR"),IF(AND($AA325="Crédit",$O325=$O326),$R326,IF(AND($AA325="Débit",$O325=$O324),$R324)),IF(OR(AND(OR($E325&lt;&gt;"",$M325=""),$N325&lt;&gt;0),$A325=""),IFERROR(INDEX(Investment!$H:$H,MATCH($E325,Investment!$F:$F,0))),IFERROR(INDEX($R326:$R1119,MATCH(SUBSTITUTE($I325,"-","",1),$K326:$K1119,0)),INDEX($R326:$R1119,MATCH($K325,$K326:$K1119,0)))))</f>
        <v/>
      </c>
      <c r="S325" s="35" t="str">
        <f t="shared" si="2"/>
        <v/>
      </c>
      <c r="T325" s="37" t="str">
        <f t="shared" si="3"/>
        <v/>
      </c>
      <c r="U325" s="38" t="str">
        <f t="shared" si="4"/>
        <v/>
      </c>
      <c r="V325" s="31" t="str">
        <f t="shared" si="5"/>
        <v/>
      </c>
      <c r="W325" s="39" t="str">
        <f>IFERROR(__xludf.DUMMYFUNCTION(" IF(Account!$F325&lt;&gt;"""", SPLIT(Account!$F325, "" ""), """")"),"")</f>
        <v/>
      </c>
      <c r="X325" s="40"/>
      <c r="Y325" s="40"/>
      <c r="Z325" s="40"/>
      <c r="AA325" s="40"/>
      <c r="AB325" s="40"/>
      <c r="AC325" s="40"/>
      <c r="AD325" s="40"/>
      <c r="AE325" s="40"/>
      <c r="AF325" s="40"/>
      <c r="AG325" s="40"/>
      <c r="AH325" s="40"/>
      <c r="AI325" s="40"/>
      <c r="AJ325" s="40"/>
      <c r="AK325" s="40"/>
    </row>
    <row r="326">
      <c r="A326" s="10"/>
      <c r="B326" s="10"/>
      <c r="C326" s="10"/>
      <c r="D326" s="10"/>
      <c r="E326" s="10"/>
      <c r="F326" s="12"/>
      <c r="G326" s="10"/>
      <c r="H326" s="10"/>
      <c r="I326" s="10"/>
      <c r="J326" s="10"/>
      <c r="K326" s="10"/>
      <c r="L326" s="12"/>
      <c r="M326" s="29" t="str">
        <f t="shared" si="1"/>
        <v/>
      </c>
      <c r="N326" s="31" t="str">
        <f>IFERROR(__xludf.DUMMYFUNCTION("IF(Account!$F326&lt;&gt;"""", VALUE(REGEXREPLACE($I326, ""\,"", ""."")), """")"),"")</f>
        <v/>
      </c>
      <c r="O326" s="33" t="str">
        <f>IF(Account!$F326&lt;&gt;"", DATEVALUE(MID($A326,4,3) &amp; LEFT($A326,3) &amp; RIGHT($A326,4)) + TIMEVALUE($B326), "")</f>
        <v/>
      </c>
      <c r="P326" s="34" t="str">
        <f>IF(Account!$F326&lt;&gt;"", DATEVALUE(MID($C326,4,3) &amp; LEFT($C326,3) &amp; RIGHT($C326,4)), "")</f>
        <v/>
      </c>
      <c r="Q326" s="35" t="str">
        <f t="array" ref="Q326">IF($R326&lt;&gt;"",IFERROR(INDEX(Investment!$A:$A,MATCH($R326,Investment!$H:$H,0))),)</f>
        <v/>
      </c>
      <c r="R326" s="36" t="str">
        <f t="array" ref="R326">IF(AND($Y326="change",$H326="EUR"),IF(AND($AA326="Crédit",$O326=$O327),$R327,IF(AND($AA326="Débit",$O326=$O325),$R325)),IF(OR(AND(OR($E326&lt;&gt;"",$M326=""),$N326&lt;&gt;0),$A326=""),IFERROR(INDEX(Investment!$H:$H,MATCH($E326,Investment!$F:$F,0))),IFERROR(INDEX($R327:$R1119,MATCH(SUBSTITUTE($I326,"-","",1),$K327:$K1119,0)),INDEX($R327:$R1119,MATCH($K326,$K327:$K1119,0)))))</f>
        <v/>
      </c>
      <c r="S326" s="35" t="str">
        <f t="shared" si="2"/>
        <v/>
      </c>
      <c r="T326" s="37" t="str">
        <f t="shared" si="3"/>
        <v/>
      </c>
      <c r="U326" s="38" t="str">
        <f t="shared" si="4"/>
        <v/>
      </c>
      <c r="V326" s="31" t="str">
        <f t="shared" si="5"/>
        <v/>
      </c>
      <c r="W326" s="39" t="str">
        <f>IFERROR(__xludf.DUMMYFUNCTION(" IF(Account!$F326&lt;&gt;"""", SPLIT(Account!$F326, "" ""), """")"),"")</f>
        <v/>
      </c>
      <c r="X326" s="40"/>
      <c r="Y326" s="40"/>
      <c r="Z326" s="40"/>
      <c r="AA326" s="40"/>
      <c r="AB326" s="40"/>
      <c r="AC326" s="40"/>
      <c r="AD326" s="40"/>
      <c r="AE326" s="40"/>
      <c r="AF326" s="40"/>
      <c r="AG326" s="40"/>
      <c r="AH326" s="40"/>
      <c r="AI326" s="40"/>
      <c r="AJ326" s="40"/>
      <c r="AK326" s="40"/>
    </row>
    <row r="327">
      <c r="A327" s="10"/>
      <c r="B327" s="10"/>
      <c r="C327" s="10"/>
      <c r="D327" s="10"/>
      <c r="E327" s="10"/>
      <c r="F327" s="12"/>
      <c r="G327" s="10"/>
      <c r="H327" s="10"/>
      <c r="I327" s="10"/>
      <c r="J327" s="10"/>
      <c r="K327" s="10"/>
      <c r="L327" s="12"/>
      <c r="M327" s="29" t="str">
        <f t="shared" si="1"/>
        <v/>
      </c>
      <c r="N327" s="31" t="str">
        <f>IFERROR(__xludf.DUMMYFUNCTION("IF(Account!$F327&lt;&gt;"""", VALUE(REGEXREPLACE($I327, ""\,"", ""."")), """")"),"")</f>
        <v/>
      </c>
      <c r="O327" s="33" t="str">
        <f>IF(Account!$F327&lt;&gt;"", DATEVALUE(MID($A327,4,3) &amp; LEFT($A327,3) &amp; RIGHT($A327,4)) + TIMEVALUE($B327), "")</f>
        <v/>
      </c>
      <c r="P327" s="34" t="str">
        <f>IF(Account!$F327&lt;&gt;"", DATEVALUE(MID($C327,4,3) &amp; LEFT($C327,3) &amp; RIGHT($C327,4)), "")</f>
        <v/>
      </c>
      <c r="Q327" s="35" t="str">
        <f t="array" ref="Q327">IF($R327&lt;&gt;"",IFERROR(INDEX(Investment!$A:$A,MATCH($R327,Investment!$H:$H,0))),)</f>
        <v/>
      </c>
      <c r="R327" s="36" t="str">
        <f t="array" ref="R327">IF(AND($Y327="change",$H327="EUR"),IF(AND($AA327="Crédit",$O327=$O328),$R328,IF(AND($AA327="Débit",$O327=$O326),$R326)),IF(OR(AND(OR($E327&lt;&gt;"",$M327=""),$N327&lt;&gt;0),$A327=""),IFERROR(INDEX(Investment!$H:$H,MATCH($E327,Investment!$F:$F,0))),IFERROR(INDEX($R328:$R1119,MATCH(SUBSTITUTE($I327,"-","",1),$K328:$K1119,0)),INDEX($R328:$R1119,MATCH($K327,$K328:$K1119,0)))))</f>
        <v/>
      </c>
      <c r="S327" s="35" t="str">
        <f t="shared" si="2"/>
        <v/>
      </c>
      <c r="T327" s="37" t="str">
        <f t="shared" si="3"/>
        <v/>
      </c>
      <c r="U327" s="38" t="str">
        <f t="shared" si="4"/>
        <v/>
      </c>
      <c r="V327" s="31" t="str">
        <f t="shared" si="5"/>
        <v/>
      </c>
      <c r="W327" s="39" t="str">
        <f>IFERROR(__xludf.DUMMYFUNCTION(" IF(Account!$F327&lt;&gt;"""", SPLIT(Account!$F327, "" ""), """")"),"")</f>
        <v/>
      </c>
      <c r="X327" s="40"/>
      <c r="Y327" s="40"/>
      <c r="Z327" s="40"/>
      <c r="AA327" s="40"/>
      <c r="AB327" s="40"/>
      <c r="AC327" s="40"/>
      <c r="AD327" s="40"/>
      <c r="AE327" s="40"/>
      <c r="AF327" s="40"/>
      <c r="AG327" s="40"/>
      <c r="AH327" s="40"/>
      <c r="AI327" s="40"/>
      <c r="AJ327" s="40"/>
      <c r="AK327" s="40"/>
    </row>
    <row r="328">
      <c r="A328" s="10"/>
      <c r="B328" s="10"/>
      <c r="C328" s="10"/>
      <c r="D328" s="10"/>
      <c r="E328" s="10"/>
      <c r="F328" s="12"/>
      <c r="G328" s="10"/>
      <c r="H328" s="10"/>
      <c r="I328" s="10"/>
      <c r="J328" s="10"/>
      <c r="K328" s="10"/>
      <c r="L328" s="12"/>
      <c r="M328" s="29" t="str">
        <f t="shared" si="1"/>
        <v/>
      </c>
      <c r="N328" s="31" t="str">
        <f>IFERROR(__xludf.DUMMYFUNCTION("IF(Account!$F328&lt;&gt;"""", VALUE(REGEXREPLACE($I328, ""\,"", ""."")), """")"),"")</f>
        <v/>
      </c>
      <c r="O328" s="33" t="str">
        <f>IF(Account!$F328&lt;&gt;"", DATEVALUE(MID($A328,4,3) &amp; LEFT($A328,3) &amp; RIGHT($A328,4)) + TIMEVALUE($B328), "")</f>
        <v/>
      </c>
      <c r="P328" s="34" t="str">
        <f>IF(Account!$F328&lt;&gt;"", DATEVALUE(MID($C328,4,3) &amp; LEFT($C328,3) &amp; RIGHT($C328,4)), "")</f>
        <v/>
      </c>
      <c r="Q328" s="35" t="str">
        <f t="array" ref="Q328">IF($R328&lt;&gt;"",IFERROR(INDEX(Investment!$A:$A,MATCH($R328,Investment!$H:$H,0))),)</f>
        <v/>
      </c>
      <c r="R328" s="36" t="str">
        <f t="array" ref="R328">IF(AND($Y328="change",$H328="EUR"),IF(AND($AA328="Crédit",$O328=$O329),$R329,IF(AND($AA328="Débit",$O328=$O327),$R327)),IF(OR(AND(OR($E328&lt;&gt;"",$M328=""),$N328&lt;&gt;0),$A328=""),IFERROR(INDEX(Investment!$H:$H,MATCH($E328,Investment!$F:$F,0))),IFERROR(INDEX($R329:$R1119,MATCH(SUBSTITUTE($I328,"-","",1),$K329:$K1119,0)),INDEX($R329:$R1119,MATCH($K328,$K329:$K1119,0)))))</f>
        <v/>
      </c>
      <c r="S328" s="35" t="str">
        <f t="shared" si="2"/>
        <v/>
      </c>
      <c r="T328" s="37" t="str">
        <f t="shared" si="3"/>
        <v/>
      </c>
      <c r="U328" s="38" t="str">
        <f t="shared" si="4"/>
        <v/>
      </c>
      <c r="V328" s="31" t="str">
        <f t="shared" si="5"/>
        <v/>
      </c>
      <c r="W328" s="39" t="str">
        <f>IFERROR(__xludf.DUMMYFUNCTION(" IF(Account!$F328&lt;&gt;"""", SPLIT(Account!$F328, "" ""), """")"),"")</f>
        <v/>
      </c>
      <c r="X328" s="40"/>
      <c r="Y328" s="40"/>
      <c r="Z328" s="40"/>
      <c r="AA328" s="40"/>
      <c r="AB328" s="40"/>
      <c r="AC328" s="40"/>
      <c r="AD328" s="40"/>
      <c r="AE328" s="40"/>
      <c r="AF328" s="40"/>
      <c r="AG328" s="40"/>
      <c r="AH328" s="40"/>
      <c r="AI328" s="40"/>
      <c r="AJ328" s="40"/>
      <c r="AK328" s="40"/>
    </row>
    <row r="329">
      <c r="A329" s="10"/>
      <c r="B329" s="10"/>
      <c r="C329" s="10"/>
      <c r="D329" s="10"/>
      <c r="E329" s="10"/>
      <c r="F329" s="12"/>
      <c r="G329" s="10"/>
      <c r="H329" s="10"/>
      <c r="I329" s="10"/>
      <c r="J329" s="10"/>
      <c r="K329" s="10"/>
      <c r="L329" s="12"/>
      <c r="M329" s="29" t="str">
        <f t="shared" si="1"/>
        <v/>
      </c>
      <c r="N329" s="31" t="str">
        <f>IFERROR(__xludf.DUMMYFUNCTION("IF(Account!$F329&lt;&gt;"""", VALUE(REGEXREPLACE($I329, ""\,"", ""."")), """")"),"")</f>
        <v/>
      </c>
      <c r="O329" s="33" t="str">
        <f>IF(Account!$F329&lt;&gt;"", DATEVALUE(MID($A329,4,3) &amp; LEFT($A329,3) &amp; RIGHT($A329,4)) + TIMEVALUE($B329), "")</f>
        <v/>
      </c>
      <c r="P329" s="34" t="str">
        <f>IF(Account!$F329&lt;&gt;"", DATEVALUE(MID($C329,4,3) &amp; LEFT($C329,3) &amp; RIGHT($C329,4)), "")</f>
        <v/>
      </c>
      <c r="Q329" s="35" t="str">
        <f t="array" ref="Q329">IF($R329&lt;&gt;"",IFERROR(INDEX(Investment!$A:$A,MATCH($R329,Investment!$H:$H,0))),)</f>
        <v/>
      </c>
      <c r="R329" s="36" t="str">
        <f t="array" ref="R329">IF(AND($Y329="change",$H329="EUR"),IF(AND($AA329="Crédit",$O329=$O330),$R330,IF(AND($AA329="Débit",$O329=$O328),$R328)),IF(OR(AND(OR($E329&lt;&gt;"",$M329=""),$N329&lt;&gt;0),$A329=""),IFERROR(INDEX(Investment!$H:$H,MATCH($E329,Investment!$F:$F,0))),IFERROR(INDEX($R330:$R1119,MATCH(SUBSTITUTE($I329,"-","",1),$K330:$K1119,0)),INDEX($R330:$R1119,MATCH($K329,$K330:$K1119,0)))))</f>
        <v/>
      </c>
      <c r="S329" s="35" t="str">
        <f t="shared" si="2"/>
        <v/>
      </c>
      <c r="T329" s="37" t="str">
        <f t="shared" si="3"/>
        <v/>
      </c>
      <c r="U329" s="38" t="str">
        <f t="shared" si="4"/>
        <v/>
      </c>
      <c r="V329" s="31" t="str">
        <f t="shared" si="5"/>
        <v/>
      </c>
      <c r="W329" s="39" t="str">
        <f>IFERROR(__xludf.DUMMYFUNCTION(" IF(Account!$F329&lt;&gt;"""", SPLIT(Account!$F329, "" ""), """")"),"")</f>
        <v/>
      </c>
      <c r="X329" s="40"/>
      <c r="Y329" s="40"/>
      <c r="Z329" s="40"/>
      <c r="AA329" s="40"/>
      <c r="AB329" s="40"/>
      <c r="AC329" s="40"/>
      <c r="AD329" s="40"/>
      <c r="AE329" s="40"/>
      <c r="AF329" s="40"/>
      <c r="AG329" s="40"/>
      <c r="AH329" s="40"/>
      <c r="AI329" s="40"/>
      <c r="AJ329" s="40"/>
      <c r="AK329" s="40"/>
    </row>
    <row r="330">
      <c r="A330" s="10"/>
      <c r="B330" s="10"/>
      <c r="C330" s="10"/>
      <c r="D330" s="10"/>
      <c r="E330" s="10"/>
      <c r="F330" s="12"/>
      <c r="G330" s="10"/>
      <c r="H330" s="10"/>
      <c r="I330" s="10"/>
      <c r="J330" s="10"/>
      <c r="K330" s="10"/>
      <c r="L330" s="12"/>
      <c r="M330" s="29" t="str">
        <f t="shared" si="1"/>
        <v/>
      </c>
      <c r="N330" s="31" t="str">
        <f>IFERROR(__xludf.DUMMYFUNCTION("IF(Account!$F330&lt;&gt;"""", VALUE(REGEXREPLACE($I330, ""\,"", ""."")), """")"),"")</f>
        <v/>
      </c>
      <c r="O330" s="33" t="str">
        <f>IF(Account!$F330&lt;&gt;"", DATEVALUE(MID($A330,4,3) &amp; LEFT($A330,3) &amp; RIGHT($A330,4)) + TIMEVALUE($B330), "")</f>
        <v/>
      </c>
      <c r="P330" s="34" t="str">
        <f>IF(Account!$F330&lt;&gt;"", DATEVALUE(MID($C330,4,3) &amp; LEFT($C330,3) &amp; RIGHT($C330,4)), "")</f>
        <v/>
      </c>
      <c r="Q330" s="35" t="str">
        <f t="array" ref="Q330">IF($R330&lt;&gt;"",IFERROR(INDEX(Investment!$A:$A,MATCH($R330,Investment!$H:$H,0))),)</f>
        <v/>
      </c>
      <c r="R330" s="36" t="str">
        <f t="array" ref="R330">IF(AND($Y330="change",$H330="EUR"),IF(AND($AA330="Crédit",$O330=$O331),$R331,IF(AND($AA330="Débit",$O330=$O329),$R329)),IF(OR(AND(OR($E330&lt;&gt;"",$M330=""),$N330&lt;&gt;0),$A330=""),IFERROR(INDEX(Investment!$H:$H,MATCH($E330,Investment!$F:$F,0))),IFERROR(INDEX($R331:$R1119,MATCH(SUBSTITUTE($I330,"-","",1),$K331:$K1119,0)),INDEX($R331:$R1119,MATCH($K330,$K331:$K1119,0)))))</f>
        <v/>
      </c>
      <c r="S330" s="35" t="str">
        <f t="shared" si="2"/>
        <v/>
      </c>
      <c r="T330" s="37" t="str">
        <f t="shared" si="3"/>
        <v/>
      </c>
      <c r="U330" s="38" t="str">
        <f t="shared" si="4"/>
        <v/>
      </c>
      <c r="V330" s="31" t="str">
        <f t="shared" si="5"/>
        <v/>
      </c>
      <c r="W330" s="39" t="str">
        <f>IFERROR(__xludf.DUMMYFUNCTION(" IF(Account!$F330&lt;&gt;"""", SPLIT(Account!$F330, "" ""), """")"),"")</f>
        <v/>
      </c>
      <c r="X330" s="40"/>
      <c r="Y330" s="40"/>
      <c r="Z330" s="40"/>
      <c r="AA330" s="40"/>
      <c r="AB330" s="40"/>
      <c r="AC330" s="40"/>
      <c r="AD330" s="40"/>
      <c r="AE330" s="40"/>
      <c r="AF330" s="40"/>
      <c r="AG330" s="40"/>
      <c r="AH330" s="40"/>
      <c r="AI330" s="40"/>
      <c r="AJ330" s="40"/>
      <c r="AK330" s="40"/>
    </row>
    <row r="331">
      <c r="A331" s="10"/>
      <c r="B331" s="10"/>
      <c r="C331" s="10"/>
      <c r="D331" s="10"/>
      <c r="E331" s="10"/>
      <c r="F331" s="12"/>
      <c r="G331" s="10"/>
      <c r="H331" s="10"/>
      <c r="I331" s="10"/>
      <c r="J331" s="10"/>
      <c r="K331" s="10"/>
      <c r="L331" s="12"/>
      <c r="M331" s="29" t="str">
        <f t="shared" si="1"/>
        <v/>
      </c>
      <c r="N331" s="31" t="str">
        <f>IFERROR(__xludf.DUMMYFUNCTION("IF(Account!$F331&lt;&gt;"""", VALUE(REGEXREPLACE($I331, ""\,"", ""."")), """")"),"")</f>
        <v/>
      </c>
      <c r="O331" s="33" t="str">
        <f>IF(Account!$F331&lt;&gt;"", DATEVALUE(MID($A331,4,3) &amp; LEFT($A331,3) &amp; RIGHT($A331,4)) + TIMEVALUE($B331), "")</f>
        <v/>
      </c>
      <c r="P331" s="34" t="str">
        <f>IF(Account!$F331&lt;&gt;"", DATEVALUE(MID($C331,4,3) &amp; LEFT($C331,3) &amp; RIGHT($C331,4)), "")</f>
        <v/>
      </c>
      <c r="Q331" s="35" t="str">
        <f t="array" ref="Q331">IF($R331&lt;&gt;"",IFERROR(INDEX(Investment!$A:$A,MATCH($R331,Investment!$H:$H,0))),)</f>
        <v/>
      </c>
      <c r="R331" s="36" t="str">
        <f t="array" ref="R331">IF(AND($Y331="change",$H331="EUR"),IF(AND($AA331="Crédit",$O331=$O332),$R332,IF(AND($AA331="Débit",$O331=$O330),$R330)),IF(OR(AND(OR($E331&lt;&gt;"",$M331=""),$N331&lt;&gt;0),$A331=""),IFERROR(INDEX(Investment!$H:$H,MATCH($E331,Investment!$F:$F,0))),IFERROR(INDEX($R332:$R1119,MATCH(SUBSTITUTE($I331,"-","",1),$K332:$K1119,0)),INDEX($R332:$R1119,MATCH($K331,$K332:$K1119,0)))))</f>
        <v/>
      </c>
      <c r="S331" s="35" t="str">
        <f t="shared" si="2"/>
        <v/>
      </c>
      <c r="T331" s="37" t="str">
        <f t="shared" si="3"/>
        <v/>
      </c>
      <c r="U331" s="38" t="str">
        <f t="shared" si="4"/>
        <v/>
      </c>
      <c r="V331" s="31" t="str">
        <f t="shared" si="5"/>
        <v/>
      </c>
      <c r="W331" s="39" t="str">
        <f>IFERROR(__xludf.DUMMYFUNCTION(" IF(Account!$F331&lt;&gt;"""", SPLIT(Account!$F331, "" ""), """")"),"")</f>
        <v/>
      </c>
      <c r="X331" s="40"/>
      <c r="Y331" s="40"/>
      <c r="Z331" s="40"/>
      <c r="AA331" s="40"/>
      <c r="AB331" s="40"/>
      <c r="AC331" s="40"/>
      <c r="AD331" s="40"/>
      <c r="AE331" s="40"/>
      <c r="AF331" s="40"/>
      <c r="AG331" s="40"/>
      <c r="AH331" s="40"/>
      <c r="AI331" s="40"/>
      <c r="AJ331" s="40"/>
      <c r="AK331" s="40"/>
    </row>
    <row r="332">
      <c r="A332" s="10"/>
      <c r="B332" s="10"/>
      <c r="C332" s="10"/>
      <c r="D332" s="10"/>
      <c r="E332" s="10"/>
      <c r="F332" s="12"/>
      <c r="G332" s="10"/>
      <c r="H332" s="10"/>
      <c r="I332" s="10"/>
      <c r="J332" s="10"/>
      <c r="K332" s="10"/>
      <c r="L332" s="12"/>
      <c r="M332" s="29" t="str">
        <f t="shared" si="1"/>
        <v/>
      </c>
      <c r="N332" s="31" t="str">
        <f>IFERROR(__xludf.DUMMYFUNCTION("IF(Account!$F332&lt;&gt;"""", VALUE(REGEXREPLACE($I332, ""\,"", ""."")), """")"),"")</f>
        <v/>
      </c>
      <c r="O332" s="33" t="str">
        <f>IF(Account!$F332&lt;&gt;"", DATEVALUE(MID($A332,4,3) &amp; LEFT($A332,3) &amp; RIGHT($A332,4)) + TIMEVALUE($B332), "")</f>
        <v/>
      </c>
      <c r="P332" s="34" t="str">
        <f>IF(Account!$F332&lt;&gt;"", DATEVALUE(MID($C332,4,3) &amp; LEFT($C332,3) &amp; RIGHT($C332,4)), "")</f>
        <v/>
      </c>
      <c r="Q332" s="35" t="str">
        <f t="array" ref="Q332">IF($R332&lt;&gt;"",IFERROR(INDEX(Investment!$A:$A,MATCH($R332,Investment!$H:$H,0))),)</f>
        <v/>
      </c>
      <c r="R332" s="36" t="str">
        <f t="array" ref="R332">IF(AND($Y332="change",$H332="EUR"),IF(AND($AA332="Crédit",$O332=$O333),$R333,IF(AND($AA332="Débit",$O332=$O331),$R331)),IF(OR(AND(OR($E332&lt;&gt;"",$M332=""),$N332&lt;&gt;0),$A332=""),IFERROR(INDEX(Investment!$H:$H,MATCH($E332,Investment!$F:$F,0))),IFERROR(INDEX($R333:$R1119,MATCH(SUBSTITUTE($I332,"-","",1),$K333:$K1119,0)),INDEX($R333:$R1119,MATCH($K332,$K333:$K1119,0)))))</f>
        <v/>
      </c>
      <c r="S332" s="35" t="str">
        <f t="shared" si="2"/>
        <v/>
      </c>
      <c r="T332" s="37" t="str">
        <f t="shared" si="3"/>
        <v/>
      </c>
      <c r="U332" s="38" t="str">
        <f t="shared" si="4"/>
        <v/>
      </c>
      <c r="V332" s="31" t="str">
        <f t="shared" si="5"/>
        <v/>
      </c>
      <c r="W332" s="39" t="str">
        <f>IFERROR(__xludf.DUMMYFUNCTION(" IF(Account!$F332&lt;&gt;"""", SPLIT(Account!$F332, "" ""), """")"),"")</f>
        <v/>
      </c>
      <c r="X332" s="40"/>
      <c r="Y332" s="40"/>
      <c r="Z332" s="40"/>
      <c r="AA332" s="40"/>
      <c r="AB332" s="40"/>
      <c r="AC332" s="40"/>
      <c r="AD332" s="40"/>
      <c r="AE332" s="40"/>
      <c r="AF332" s="40"/>
      <c r="AG332" s="40"/>
      <c r="AH332" s="40"/>
      <c r="AI332" s="40"/>
      <c r="AJ332" s="40"/>
      <c r="AK332" s="40"/>
    </row>
    <row r="333">
      <c r="A333" s="10"/>
      <c r="B333" s="10"/>
      <c r="C333" s="10"/>
      <c r="D333" s="10"/>
      <c r="E333" s="10"/>
      <c r="F333" s="12"/>
      <c r="G333" s="10"/>
      <c r="H333" s="10"/>
      <c r="I333" s="10"/>
      <c r="J333" s="10"/>
      <c r="K333" s="10"/>
      <c r="L333" s="12"/>
      <c r="M333" s="29" t="str">
        <f t="shared" si="1"/>
        <v/>
      </c>
      <c r="N333" s="31" t="str">
        <f>IFERROR(__xludf.DUMMYFUNCTION("IF(Account!$F333&lt;&gt;"""", VALUE(REGEXREPLACE($I333, ""\,"", ""."")), """")"),"")</f>
        <v/>
      </c>
      <c r="O333" s="33" t="str">
        <f>IF(Account!$F333&lt;&gt;"", DATEVALUE(MID($A333,4,3) &amp; LEFT($A333,3) &amp; RIGHT($A333,4)) + TIMEVALUE($B333), "")</f>
        <v/>
      </c>
      <c r="P333" s="34" t="str">
        <f>IF(Account!$F333&lt;&gt;"", DATEVALUE(MID($C333,4,3) &amp; LEFT($C333,3) &amp; RIGHT($C333,4)), "")</f>
        <v/>
      </c>
      <c r="Q333" s="35" t="str">
        <f t="array" ref="Q333">IF($R333&lt;&gt;"",IFERROR(INDEX(Investment!$A:$A,MATCH($R333,Investment!$H:$H,0))),)</f>
        <v/>
      </c>
      <c r="R333" s="36" t="str">
        <f t="array" ref="R333">IF(AND($Y333="change",$H333="EUR"),IF(AND($AA333="Crédit",$O333=$O334),$R334,IF(AND($AA333="Débit",$O333=$O332),$R332)),IF(OR(AND(OR($E333&lt;&gt;"",$M333=""),$N333&lt;&gt;0),$A333=""),IFERROR(INDEX(Investment!$H:$H,MATCH($E333,Investment!$F:$F,0))),IFERROR(INDEX($R334:$R1119,MATCH(SUBSTITUTE($I333,"-","",1),$K334:$K1119,0)),INDEX($R334:$R1119,MATCH($K333,$K334:$K1119,0)))))</f>
        <v/>
      </c>
      <c r="S333" s="35" t="str">
        <f t="shared" si="2"/>
        <v/>
      </c>
      <c r="T333" s="37" t="str">
        <f t="shared" si="3"/>
        <v/>
      </c>
      <c r="U333" s="38" t="str">
        <f t="shared" si="4"/>
        <v/>
      </c>
      <c r="V333" s="31" t="str">
        <f t="shared" si="5"/>
        <v/>
      </c>
      <c r="W333" s="39" t="str">
        <f>IFERROR(__xludf.DUMMYFUNCTION(" IF(Account!$F333&lt;&gt;"""", SPLIT(Account!$F333, "" ""), """")"),"")</f>
        <v/>
      </c>
      <c r="X333" s="40"/>
      <c r="Y333" s="40"/>
      <c r="Z333" s="40"/>
      <c r="AA333" s="40"/>
      <c r="AB333" s="40"/>
      <c r="AC333" s="40"/>
      <c r="AD333" s="40"/>
      <c r="AE333" s="40"/>
      <c r="AF333" s="40"/>
      <c r="AG333" s="40"/>
      <c r="AH333" s="40"/>
      <c r="AI333" s="40"/>
      <c r="AJ333" s="40"/>
      <c r="AK333" s="40"/>
    </row>
    <row r="334">
      <c r="A334" s="10"/>
      <c r="B334" s="10"/>
      <c r="C334" s="10"/>
      <c r="D334" s="10"/>
      <c r="E334" s="10"/>
      <c r="F334" s="12"/>
      <c r="G334" s="10"/>
      <c r="H334" s="10"/>
      <c r="I334" s="10"/>
      <c r="J334" s="10"/>
      <c r="K334" s="10"/>
      <c r="L334" s="12"/>
      <c r="M334" s="29" t="str">
        <f t="shared" si="1"/>
        <v/>
      </c>
      <c r="N334" s="31" t="str">
        <f>IFERROR(__xludf.DUMMYFUNCTION("IF(Account!$F334&lt;&gt;"""", VALUE(REGEXREPLACE($I334, ""\,"", ""."")), """")"),"")</f>
        <v/>
      </c>
      <c r="O334" s="33" t="str">
        <f>IF(Account!$F334&lt;&gt;"", DATEVALUE(MID($A334,4,3) &amp; LEFT($A334,3) &amp; RIGHT($A334,4)) + TIMEVALUE($B334), "")</f>
        <v/>
      </c>
      <c r="P334" s="34" t="str">
        <f>IF(Account!$F334&lt;&gt;"", DATEVALUE(MID($C334,4,3) &amp; LEFT($C334,3) &amp; RIGHT($C334,4)), "")</f>
        <v/>
      </c>
      <c r="Q334" s="35" t="str">
        <f t="array" ref="Q334">IF($R334&lt;&gt;"",IFERROR(INDEX(Investment!$A:$A,MATCH($R334,Investment!$H:$H,0))),)</f>
        <v/>
      </c>
      <c r="R334" s="36" t="str">
        <f t="array" ref="R334">IF(AND($Y334="change",$H334="EUR"),IF(AND($AA334="Crédit",$O334=$O335),$R335,IF(AND($AA334="Débit",$O334=$O333),$R333)),IF(OR(AND(OR($E334&lt;&gt;"",$M334=""),$N334&lt;&gt;0),$A334=""),IFERROR(INDEX(Investment!$H:$H,MATCH($E334,Investment!$F:$F,0))),IFERROR(INDEX($R335:$R1119,MATCH(SUBSTITUTE($I334,"-","",1),$K335:$K1119,0)),INDEX($R335:$R1119,MATCH($K334,$K335:$K1119,0)))))</f>
        <v/>
      </c>
      <c r="S334" s="35" t="str">
        <f t="shared" si="2"/>
        <v/>
      </c>
      <c r="T334" s="37" t="str">
        <f t="shared" si="3"/>
        <v/>
      </c>
      <c r="U334" s="38" t="str">
        <f t="shared" si="4"/>
        <v/>
      </c>
      <c r="V334" s="31" t="str">
        <f t="shared" si="5"/>
        <v/>
      </c>
      <c r="W334" s="39" t="str">
        <f>IFERROR(__xludf.DUMMYFUNCTION(" IF(Account!$F334&lt;&gt;"""", SPLIT(Account!$F334, "" ""), """")"),"")</f>
        <v/>
      </c>
      <c r="X334" s="40"/>
      <c r="Y334" s="40"/>
      <c r="Z334" s="40"/>
      <c r="AA334" s="40"/>
      <c r="AB334" s="40"/>
      <c r="AC334" s="40"/>
      <c r="AD334" s="40"/>
      <c r="AE334" s="40"/>
      <c r="AF334" s="40"/>
      <c r="AG334" s="40"/>
      <c r="AH334" s="40"/>
      <c r="AI334" s="40"/>
      <c r="AJ334" s="40"/>
      <c r="AK334" s="40"/>
    </row>
    <row r="335">
      <c r="A335" s="10"/>
      <c r="B335" s="10"/>
      <c r="C335" s="10"/>
      <c r="D335" s="10"/>
      <c r="E335" s="10"/>
      <c r="F335" s="12"/>
      <c r="G335" s="10"/>
      <c r="H335" s="10"/>
      <c r="I335" s="10"/>
      <c r="J335" s="10"/>
      <c r="K335" s="10"/>
      <c r="L335" s="12"/>
      <c r="M335" s="29" t="str">
        <f t="shared" si="1"/>
        <v/>
      </c>
      <c r="N335" s="31" t="str">
        <f>IFERROR(__xludf.DUMMYFUNCTION("IF(Account!$F335&lt;&gt;"""", VALUE(REGEXREPLACE($I335, ""\,"", ""."")), """")"),"")</f>
        <v/>
      </c>
      <c r="O335" s="33" t="str">
        <f>IF(Account!$F335&lt;&gt;"", DATEVALUE(MID($A335,4,3) &amp; LEFT($A335,3) &amp; RIGHT($A335,4)) + TIMEVALUE($B335), "")</f>
        <v/>
      </c>
      <c r="P335" s="34" t="str">
        <f>IF(Account!$F335&lt;&gt;"", DATEVALUE(MID($C335,4,3) &amp; LEFT($C335,3) &amp; RIGHT($C335,4)), "")</f>
        <v/>
      </c>
      <c r="Q335" s="35" t="str">
        <f t="array" ref="Q335">IF($R335&lt;&gt;"",IFERROR(INDEX(Investment!$A:$A,MATCH($R335,Investment!$H:$H,0))),)</f>
        <v/>
      </c>
      <c r="R335" s="36" t="str">
        <f t="array" ref="R335">IF(AND($Y335="change",$H335="EUR"),IF(AND($AA335="Crédit",$O335=$O336),$R336,IF(AND($AA335="Débit",$O335=$O334),$R334)),IF(OR(AND(OR($E335&lt;&gt;"",$M335=""),$N335&lt;&gt;0),$A335=""),IFERROR(INDEX(Investment!$H:$H,MATCH($E335,Investment!$F:$F,0))),IFERROR(INDEX($R336:$R1119,MATCH(SUBSTITUTE($I335,"-","",1),$K336:$K1119,0)),INDEX($R336:$R1119,MATCH($K335,$K336:$K1119,0)))))</f>
        <v/>
      </c>
      <c r="S335" s="35" t="str">
        <f t="shared" si="2"/>
        <v/>
      </c>
      <c r="T335" s="37" t="str">
        <f t="shared" si="3"/>
        <v/>
      </c>
      <c r="U335" s="38" t="str">
        <f t="shared" si="4"/>
        <v/>
      </c>
      <c r="V335" s="31" t="str">
        <f t="shared" si="5"/>
        <v/>
      </c>
      <c r="W335" s="39" t="str">
        <f>IFERROR(__xludf.DUMMYFUNCTION(" IF(Account!$F335&lt;&gt;"""", SPLIT(Account!$F335, "" ""), """")"),"")</f>
        <v/>
      </c>
      <c r="X335" s="40"/>
      <c r="Y335" s="40"/>
      <c r="Z335" s="40"/>
      <c r="AA335" s="40"/>
      <c r="AB335" s="40"/>
      <c r="AC335" s="40"/>
      <c r="AD335" s="40"/>
      <c r="AE335" s="40"/>
      <c r="AF335" s="40"/>
      <c r="AG335" s="40"/>
      <c r="AH335" s="40"/>
      <c r="AI335" s="40"/>
      <c r="AJ335" s="40"/>
      <c r="AK335" s="40"/>
    </row>
    <row r="336">
      <c r="A336" s="10"/>
      <c r="B336" s="10"/>
      <c r="C336" s="10"/>
      <c r="D336" s="10"/>
      <c r="E336" s="10"/>
      <c r="F336" s="12"/>
      <c r="G336" s="10"/>
      <c r="H336" s="10"/>
      <c r="I336" s="10"/>
      <c r="J336" s="10"/>
      <c r="K336" s="10"/>
      <c r="L336" s="12"/>
      <c r="M336" s="29" t="str">
        <f t="shared" si="1"/>
        <v/>
      </c>
      <c r="N336" s="31" t="str">
        <f>IFERROR(__xludf.DUMMYFUNCTION("IF(Account!$F336&lt;&gt;"""", VALUE(REGEXREPLACE($I336, ""\,"", ""."")), """")"),"")</f>
        <v/>
      </c>
      <c r="O336" s="33" t="str">
        <f>IF(Account!$F336&lt;&gt;"", DATEVALUE(MID($A336,4,3) &amp; LEFT($A336,3) &amp; RIGHT($A336,4)) + TIMEVALUE($B336), "")</f>
        <v/>
      </c>
      <c r="P336" s="34" t="str">
        <f>IF(Account!$F336&lt;&gt;"", DATEVALUE(MID($C336,4,3) &amp; LEFT($C336,3) &amp; RIGHT($C336,4)), "")</f>
        <v/>
      </c>
      <c r="Q336" s="35" t="str">
        <f t="array" ref="Q336">IF($R336&lt;&gt;"",IFERROR(INDEX(Investment!$A:$A,MATCH($R336,Investment!$H:$H,0))),)</f>
        <v/>
      </c>
      <c r="R336" s="36" t="str">
        <f t="array" ref="R336">IF(AND($Y336="change",$H336="EUR"),IF(AND($AA336="Crédit",$O336=$O337),$R337,IF(AND($AA336="Débit",$O336=$O335),$R335)),IF(OR(AND(OR($E336&lt;&gt;"",$M336=""),$N336&lt;&gt;0),$A336=""),IFERROR(INDEX(Investment!$H:$H,MATCH($E336,Investment!$F:$F,0))),IFERROR(INDEX($R337:$R1119,MATCH(SUBSTITUTE($I336,"-","",1),$K337:$K1119,0)),INDEX($R337:$R1119,MATCH($K336,$K337:$K1119,0)))))</f>
        <v/>
      </c>
      <c r="S336" s="35" t="str">
        <f t="shared" si="2"/>
        <v/>
      </c>
      <c r="T336" s="37" t="str">
        <f t="shared" si="3"/>
        <v/>
      </c>
      <c r="U336" s="38" t="str">
        <f t="shared" si="4"/>
        <v/>
      </c>
      <c r="V336" s="31" t="str">
        <f t="shared" si="5"/>
        <v/>
      </c>
      <c r="W336" s="39" t="str">
        <f>IFERROR(__xludf.DUMMYFUNCTION(" IF(Account!$F336&lt;&gt;"""", SPLIT(Account!$F336, "" ""), """")"),"")</f>
        <v/>
      </c>
      <c r="X336" s="40"/>
      <c r="Y336" s="40"/>
      <c r="Z336" s="40"/>
      <c r="AA336" s="40"/>
      <c r="AB336" s="40"/>
      <c r="AC336" s="40"/>
      <c r="AD336" s="40"/>
      <c r="AE336" s="40"/>
      <c r="AF336" s="40"/>
      <c r="AG336" s="40"/>
      <c r="AH336" s="40"/>
      <c r="AI336" s="40"/>
      <c r="AJ336" s="40"/>
      <c r="AK336" s="40"/>
    </row>
    <row r="337">
      <c r="A337" s="10"/>
      <c r="B337" s="10"/>
      <c r="C337" s="10"/>
      <c r="D337" s="10"/>
      <c r="E337" s="10"/>
      <c r="F337" s="12"/>
      <c r="G337" s="10"/>
      <c r="H337" s="10"/>
      <c r="I337" s="10"/>
      <c r="J337" s="10"/>
      <c r="K337" s="10"/>
      <c r="L337" s="12"/>
      <c r="M337" s="29" t="str">
        <f t="shared" si="1"/>
        <v/>
      </c>
      <c r="N337" s="31" t="str">
        <f>IFERROR(__xludf.DUMMYFUNCTION("IF(Account!$F337&lt;&gt;"""", VALUE(REGEXREPLACE($I337, ""\,"", ""."")), """")"),"")</f>
        <v/>
      </c>
      <c r="O337" s="33" t="str">
        <f>IF(Account!$F337&lt;&gt;"", DATEVALUE(MID($A337,4,3) &amp; LEFT($A337,3) &amp; RIGHT($A337,4)) + TIMEVALUE($B337), "")</f>
        <v/>
      </c>
      <c r="P337" s="34" t="str">
        <f>IF(Account!$F337&lt;&gt;"", DATEVALUE(MID($C337,4,3) &amp; LEFT($C337,3) &amp; RIGHT($C337,4)), "")</f>
        <v/>
      </c>
      <c r="Q337" s="35" t="str">
        <f t="array" ref="Q337">IF($R337&lt;&gt;"",IFERROR(INDEX(Investment!$A:$A,MATCH($R337,Investment!$H:$H,0))),)</f>
        <v/>
      </c>
      <c r="R337" s="36" t="str">
        <f t="array" ref="R337">IF(AND($Y337="change",$H337="EUR"),IF(AND($AA337="Crédit",$O337=$O338),$R338,IF(AND($AA337="Débit",$O337=$O336),$R336)),IF(OR(AND(OR($E337&lt;&gt;"",$M337=""),$N337&lt;&gt;0),$A337=""),IFERROR(INDEX(Investment!$H:$H,MATCH($E337,Investment!$F:$F,0))),IFERROR(INDEX($R338:$R1119,MATCH(SUBSTITUTE($I337,"-","",1),$K338:$K1119,0)),INDEX($R338:$R1119,MATCH($K337,$K338:$K1119,0)))))</f>
        <v/>
      </c>
      <c r="S337" s="35" t="str">
        <f t="shared" si="2"/>
        <v/>
      </c>
      <c r="T337" s="37" t="str">
        <f t="shared" si="3"/>
        <v/>
      </c>
      <c r="U337" s="38" t="str">
        <f t="shared" si="4"/>
        <v/>
      </c>
      <c r="V337" s="31" t="str">
        <f t="shared" si="5"/>
        <v/>
      </c>
      <c r="W337" s="39" t="str">
        <f>IFERROR(__xludf.DUMMYFUNCTION(" IF(Account!$F337&lt;&gt;"""", SPLIT(Account!$F337, "" ""), """")"),"")</f>
        <v/>
      </c>
      <c r="X337" s="40"/>
      <c r="Y337" s="40"/>
      <c r="Z337" s="40"/>
      <c r="AA337" s="40"/>
      <c r="AB337" s="40"/>
      <c r="AC337" s="40"/>
      <c r="AD337" s="40"/>
      <c r="AE337" s="40"/>
      <c r="AF337" s="40"/>
      <c r="AG337" s="40"/>
      <c r="AH337" s="40"/>
      <c r="AI337" s="40"/>
      <c r="AJ337" s="40"/>
      <c r="AK337" s="40"/>
    </row>
    <row r="338">
      <c r="A338" s="10"/>
      <c r="B338" s="10"/>
      <c r="C338" s="10"/>
      <c r="D338" s="10"/>
      <c r="E338" s="10"/>
      <c r="F338" s="12"/>
      <c r="G338" s="10"/>
      <c r="H338" s="10"/>
      <c r="I338" s="10"/>
      <c r="J338" s="10"/>
      <c r="K338" s="10"/>
      <c r="L338" s="12"/>
      <c r="M338" s="29" t="str">
        <f t="shared" si="1"/>
        <v/>
      </c>
      <c r="N338" s="31" t="str">
        <f>IFERROR(__xludf.DUMMYFUNCTION("IF(Account!$F338&lt;&gt;"""", VALUE(REGEXREPLACE($I338, ""\,"", ""."")), """")"),"")</f>
        <v/>
      </c>
      <c r="O338" s="33" t="str">
        <f>IF(Account!$F338&lt;&gt;"", DATEVALUE(MID($A338,4,3) &amp; LEFT($A338,3) &amp; RIGHT($A338,4)) + TIMEVALUE($B338), "")</f>
        <v/>
      </c>
      <c r="P338" s="34" t="str">
        <f>IF(Account!$F338&lt;&gt;"", DATEVALUE(MID($C338,4,3) &amp; LEFT($C338,3) &amp; RIGHT($C338,4)), "")</f>
        <v/>
      </c>
      <c r="Q338" s="35" t="str">
        <f t="array" ref="Q338">IF($R338&lt;&gt;"",IFERROR(INDEX(Investment!$A:$A,MATCH($R338,Investment!$H:$H,0))),)</f>
        <v/>
      </c>
      <c r="R338" s="36" t="str">
        <f t="array" ref="R338">IF(AND($Y338="change",$H338="EUR"),IF(AND($AA338="Crédit",$O338=$O339),$R339,IF(AND($AA338="Débit",$O338=$O337),$R337)),IF(OR(AND(OR($E338&lt;&gt;"",$M338=""),$N338&lt;&gt;0),$A338=""),IFERROR(INDEX(Investment!$H:$H,MATCH($E338,Investment!$F:$F,0))),IFERROR(INDEX($R339:$R1119,MATCH(SUBSTITUTE($I338,"-","",1),$K339:$K1119,0)),INDEX($R339:$R1119,MATCH($K338,$K339:$K1119,0)))))</f>
        <v/>
      </c>
      <c r="S338" s="35" t="str">
        <f t="shared" si="2"/>
        <v/>
      </c>
      <c r="T338" s="37" t="str">
        <f t="shared" si="3"/>
        <v/>
      </c>
      <c r="U338" s="38" t="str">
        <f t="shared" si="4"/>
        <v/>
      </c>
      <c r="V338" s="31" t="str">
        <f t="shared" si="5"/>
        <v/>
      </c>
      <c r="W338" s="39" t="str">
        <f>IFERROR(__xludf.DUMMYFUNCTION(" IF(Account!$F338&lt;&gt;"""", SPLIT(Account!$F338, "" ""), """")"),"")</f>
        <v/>
      </c>
      <c r="X338" s="40"/>
      <c r="Y338" s="40"/>
      <c r="Z338" s="40"/>
      <c r="AA338" s="40"/>
      <c r="AB338" s="40"/>
      <c r="AC338" s="40"/>
      <c r="AD338" s="40"/>
      <c r="AE338" s="40"/>
      <c r="AF338" s="40"/>
      <c r="AG338" s="40"/>
      <c r="AH338" s="40"/>
      <c r="AI338" s="40"/>
      <c r="AJ338" s="40"/>
      <c r="AK338" s="40"/>
    </row>
    <row r="339">
      <c r="A339" s="10"/>
      <c r="B339" s="10"/>
      <c r="C339" s="10"/>
      <c r="D339" s="10"/>
      <c r="E339" s="10"/>
      <c r="F339" s="12"/>
      <c r="G339" s="300"/>
      <c r="H339" s="10"/>
      <c r="I339" s="10"/>
      <c r="J339" s="10"/>
      <c r="K339" s="10"/>
      <c r="L339" s="12"/>
      <c r="M339" s="29" t="str">
        <f t="shared" si="1"/>
        <v/>
      </c>
      <c r="N339" s="31" t="str">
        <f>IFERROR(__xludf.DUMMYFUNCTION("IF(Account!$F339&lt;&gt;"""", VALUE(REGEXREPLACE($I339, ""\,"", ""."")), """")"),"")</f>
        <v/>
      </c>
      <c r="O339" s="33" t="str">
        <f>IF(Account!$F339&lt;&gt;"", DATEVALUE(MID($A339,4,3) &amp; LEFT($A339,3) &amp; RIGHT($A339,4)) + TIMEVALUE($B339), "")</f>
        <v/>
      </c>
      <c r="P339" s="34" t="str">
        <f>IF(Account!$F339&lt;&gt;"", DATEVALUE(MID($C339,4,3) &amp; LEFT($C339,3) &amp; RIGHT($C339,4)), "")</f>
        <v/>
      </c>
      <c r="Q339" s="35" t="str">
        <f t="array" ref="Q339">IF($R339&lt;&gt;"",IFERROR(INDEX(Investment!$A:$A,MATCH($R339,Investment!$H:$H,0))),)</f>
        <v/>
      </c>
      <c r="R339" s="36" t="str">
        <f t="array" ref="R339">IF(AND($Y339="change",$H339="EUR"),IF(AND($AA339="Crédit",$O339=$O340),$R340,IF(AND($AA339="Débit",$O339=$O338),$R338)),IF(OR(AND(OR($E339&lt;&gt;"",$M339=""),$N339&lt;&gt;0),$A339=""),IFERROR(INDEX(Investment!$H:$H,MATCH($E339,Investment!$F:$F,0))),IFERROR(INDEX($R340:$R1119,MATCH(SUBSTITUTE($I339,"-","",1),$K340:$K1119,0)),INDEX($R340:$R1119,MATCH($K339,$K340:$K1119,0)))))</f>
        <v/>
      </c>
      <c r="S339" s="35" t="str">
        <f t="shared" si="2"/>
        <v/>
      </c>
      <c r="T339" s="37" t="str">
        <f t="shared" si="3"/>
        <v/>
      </c>
      <c r="U339" s="38" t="str">
        <f t="shared" si="4"/>
        <v/>
      </c>
      <c r="V339" s="31" t="str">
        <f t="shared" si="5"/>
        <v/>
      </c>
      <c r="W339" s="39" t="str">
        <f>IFERROR(__xludf.DUMMYFUNCTION(" IF(Account!$F339&lt;&gt;"""", SPLIT(Account!$F339, "" ""), """")"),"")</f>
        <v/>
      </c>
      <c r="X339" s="40"/>
      <c r="Y339" s="40"/>
      <c r="Z339" s="40"/>
      <c r="AA339" s="40"/>
      <c r="AB339" s="40"/>
      <c r="AC339" s="40"/>
      <c r="AD339" s="40"/>
      <c r="AE339" s="40"/>
      <c r="AF339" s="40"/>
      <c r="AG339" s="40"/>
      <c r="AH339" s="40"/>
      <c r="AI339" s="40"/>
      <c r="AJ339" s="40"/>
      <c r="AK339" s="40"/>
    </row>
    <row r="340">
      <c r="A340" s="10"/>
      <c r="B340" s="10"/>
      <c r="C340" s="10"/>
      <c r="D340" s="10"/>
      <c r="E340" s="10"/>
      <c r="F340" s="12"/>
      <c r="G340" s="10"/>
      <c r="H340" s="10"/>
      <c r="I340" s="10"/>
      <c r="J340" s="10"/>
      <c r="K340" s="10"/>
      <c r="L340" s="12"/>
      <c r="M340" s="29" t="str">
        <f t="shared" si="1"/>
        <v/>
      </c>
      <c r="N340" s="31" t="str">
        <f>IFERROR(__xludf.DUMMYFUNCTION("IF(Account!$F340&lt;&gt;"""", VALUE(REGEXREPLACE($I340, ""\,"", ""."")), """")"),"")</f>
        <v/>
      </c>
      <c r="O340" s="33" t="str">
        <f>IF(Account!$F340&lt;&gt;"", DATEVALUE(MID($A340,4,3) &amp; LEFT($A340,3) &amp; RIGHT($A340,4)) + TIMEVALUE($B340), "")</f>
        <v/>
      </c>
      <c r="P340" s="34" t="str">
        <f>IF(Account!$F340&lt;&gt;"", DATEVALUE(MID($C340,4,3) &amp; LEFT($C340,3) &amp; RIGHT($C340,4)), "")</f>
        <v/>
      </c>
      <c r="Q340" s="35" t="str">
        <f t="array" ref="Q340">IF($R340&lt;&gt;"",IFERROR(INDEX(Investment!$A:$A,MATCH($R340,Investment!$H:$H,0))),)</f>
        <v/>
      </c>
      <c r="R340" s="36" t="str">
        <f t="array" ref="R340">IF(AND($Y340="change",$H340="EUR"),IF(AND($AA340="Crédit",$O340=$O341),$R341,IF(AND($AA340="Débit",$O340=$O339),$R339)),IF(OR(AND(OR($E340&lt;&gt;"",$M340=""),$N340&lt;&gt;0),$A340=""),IFERROR(INDEX(Investment!$H:$H,MATCH($E340,Investment!$F:$F,0))),IFERROR(INDEX($R341:$R1119,MATCH(SUBSTITUTE($I340,"-","",1),$K341:$K1119,0)),INDEX($R341:$R1119,MATCH($K340,$K341:$K1119,0)))))</f>
        <v/>
      </c>
      <c r="S340" s="35" t="str">
        <f t="shared" si="2"/>
        <v/>
      </c>
      <c r="T340" s="37" t="str">
        <f t="shared" si="3"/>
        <v/>
      </c>
      <c r="U340" s="38" t="str">
        <f t="shared" si="4"/>
        <v/>
      </c>
      <c r="V340" s="31" t="str">
        <f t="shared" si="5"/>
        <v/>
      </c>
      <c r="W340" s="39" t="str">
        <f>IFERROR(__xludf.DUMMYFUNCTION(" IF(Account!$F340&lt;&gt;"""", SPLIT(Account!$F340, "" ""), """")"),"")</f>
        <v/>
      </c>
      <c r="X340" s="40"/>
      <c r="Y340" s="40"/>
      <c r="Z340" s="40"/>
      <c r="AA340" s="40"/>
      <c r="AB340" s="40"/>
      <c r="AC340" s="40"/>
      <c r="AD340" s="40"/>
      <c r="AE340" s="40"/>
      <c r="AF340" s="40"/>
      <c r="AG340" s="40"/>
      <c r="AH340" s="40"/>
      <c r="AI340" s="40"/>
      <c r="AJ340" s="40"/>
      <c r="AK340" s="40"/>
    </row>
    <row r="341">
      <c r="A341" s="10"/>
      <c r="B341" s="10"/>
      <c r="C341" s="10"/>
      <c r="D341" s="10"/>
      <c r="E341" s="10"/>
      <c r="F341" s="12"/>
      <c r="G341" s="300"/>
      <c r="H341" s="10"/>
      <c r="I341" s="10"/>
      <c r="J341" s="10"/>
      <c r="K341" s="10"/>
      <c r="L341" s="12"/>
      <c r="M341" s="29" t="str">
        <f t="shared" si="1"/>
        <v/>
      </c>
      <c r="N341" s="31" t="str">
        <f>IFERROR(__xludf.DUMMYFUNCTION("IF(Account!$F341&lt;&gt;"""", VALUE(REGEXREPLACE($I341, ""\,"", ""."")), """")"),"")</f>
        <v/>
      </c>
      <c r="O341" s="33" t="str">
        <f>IF(Account!$F341&lt;&gt;"", DATEVALUE(MID($A341,4,3) &amp; LEFT($A341,3) &amp; RIGHT($A341,4)) + TIMEVALUE($B341), "")</f>
        <v/>
      </c>
      <c r="P341" s="34" t="str">
        <f>IF(Account!$F341&lt;&gt;"", DATEVALUE(MID($C341,4,3) &amp; LEFT($C341,3) &amp; RIGHT($C341,4)), "")</f>
        <v/>
      </c>
      <c r="Q341" s="35" t="str">
        <f t="array" ref="Q341">IF($R341&lt;&gt;"",IFERROR(INDEX(Investment!$A:$A,MATCH($R341,Investment!$H:$H,0))),)</f>
        <v/>
      </c>
      <c r="R341" s="36" t="str">
        <f t="array" ref="R341">IF(AND($Y341="change",$H341="EUR"),IF(AND($AA341="Crédit",$O341=$O342),$R342,IF(AND($AA341="Débit",$O341=$O340),$R340)),IF(OR(AND(OR($E341&lt;&gt;"",$M341=""),$N341&lt;&gt;0),$A341=""),IFERROR(INDEX(Investment!$H:$H,MATCH($E341,Investment!$F:$F,0))),IFERROR(INDEX($R342:$R1119,MATCH(SUBSTITUTE($I341,"-","",1),$K342:$K1119,0)),INDEX($R342:$R1119,MATCH($K341,$K342:$K1119,0)))))</f>
        <v/>
      </c>
      <c r="S341" s="35" t="str">
        <f t="shared" si="2"/>
        <v/>
      </c>
      <c r="T341" s="37" t="str">
        <f t="shared" si="3"/>
        <v/>
      </c>
      <c r="U341" s="38" t="str">
        <f t="shared" si="4"/>
        <v/>
      </c>
      <c r="V341" s="31" t="str">
        <f t="shared" si="5"/>
        <v/>
      </c>
      <c r="W341" s="39" t="str">
        <f>IFERROR(__xludf.DUMMYFUNCTION(" IF(Account!$F341&lt;&gt;"""", SPLIT(Account!$F341, "" ""), """")"),"")</f>
        <v/>
      </c>
      <c r="X341" s="40"/>
      <c r="Y341" s="40"/>
      <c r="Z341" s="40"/>
      <c r="AA341" s="40"/>
      <c r="AB341" s="40"/>
      <c r="AC341" s="40"/>
      <c r="AD341" s="40"/>
      <c r="AE341" s="40"/>
      <c r="AF341" s="40"/>
      <c r="AG341" s="40"/>
      <c r="AH341" s="40"/>
      <c r="AI341" s="40"/>
      <c r="AJ341" s="40"/>
      <c r="AK341" s="40"/>
    </row>
    <row r="342">
      <c r="A342" s="10"/>
      <c r="B342" s="10"/>
      <c r="C342" s="10"/>
      <c r="D342" s="10"/>
      <c r="E342" s="10"/>
      <c r="F342" s="12"/>
      <c r="G342" s="10"/>
      <c r="H342" s="10"/>
      <c r="I342" s="10"/>
      <c r="J342" s="10"/>
      <c r="K342" s="10"/>
      <c r="L342" s="12"/>
      <c r="M342" s="29" t="str">
        <f t="shared" si="1"/>
        <v/>
      </c>
      <c r="N342" s="31" t="str">
        <f>IFERROR(__xludf.DUMMYFUNCTION("IF(Account!$F342&lt;&gt;"""", VALUE(REGEXREPLACE($I342, ""\,"", ""."")), """")"),"")</f>
        <v/>
      </c>
      <c r="O342" s="33" t="str">
        <f>IF(Account!$F342&lt;&gt;"", DATEVALUE(MID($A342,4,3) &amp; LEFT($A342,3) &amp; RIGHT($A342,4)) + TIMEVALUE($B342), "")</f>
        <v/>
      </c>
      <c r="P342" s="34" t="str">
        <f>IF(Account!$F342&lt;&gt;"", DATEVALUE(MID($C342,4,3) &amp; LEFT($C342,3) &amp; RIGHT($C342,4)), "")</f>
        <v/>
      </c>
      <c r="Q342" s="35" t="str">
        <f t="array" ref="Q342">IF($R342&lt;&gt;"",IFERROR(INDEX(Investment!$A:$A,MATCH($R342,Investment!$H:$H,0))),)</f>
        <v/>
      </c>
      <c r="R342" s="36" t="str">
        <f t="array" ref="R342">IF(AND($Y342="change",$H342="EUR"),IF(AND($AA342="Crédit",$O342=$O343),$R343,IF(AND($AA342="Débit",$O342=$O341),$R341)),IF(OR(AND(OR($E342&lt;&gt;"",$M342=""),$N342&lt;&gt;0),$A342=""),IFERROR(INDEX(Investment!$H:$H,MATCH($E342,Investment!$F:$F,0))),IFERROR(INDEX($R343:$R1119,MATCH(SUBSTITUTE($I342,"-","",1),$K343:$K1119,0)),INDEX($R343:$R1119,MATCH($K342,$K343:$K1119,0)))))</f>
        <v/>
      </c>
      <c r="S342" s="35" t="str">
        <f t="shared" si="2"/>
        <v/>
      </c>
      <c r="T342" s="37" t="str">
        <f t="shared" si="3"/>
        <v/>
      </c>
      <c r="U342" s="38" t="str">
        <f t="shared" si="4"/>
        <v/>
      </c>
      <c r="V342" s="31" t="str">
        <f t="shared" si="5"/>
        <v/>
      </c>
      <c r="W342" s="39" t="str">
        <f>IFERROR(__xludf.DUMMYFUNCTION(" IF(Account!$F342&lt;&gt;"""", SPLIT(Account!$F342, "" ""), """")"),"")</f>
        <v/>
      </c>
      <c r="X342" s="40"/>
      <c r="Y342" s="40"/>
      <c r="Z342" s="40"/>
      <c r="AA342" s="40"/>
      <c r="AB342" s="40"/>
      <c r="AC342" s="40"/>
      <c r="AD342" s="40"/>
      <c r="AE342" s="40"/>
      <c r="AF342" s="40"/>
      <c r="AG342" s="40"/>
      <c r="AH342" s="40"/>
      <c r="AI342" s="40"/>
      <c r="AJ342" s="40"/>
      <c r="AK342" s="40"/>
    </row>
    <row r="343">
      <c r="A343" s="10"/>
      <c r="B343" s="10"/>
      <c r="C343" s="10"/>
      <c r="D343" s="10"/>
      <c r="E343" s="10"/>
      <c r="F343" s="12"/>
      <c r="G343" s="300"/>
      <c r="H343" s="10"/>
      <c r="I343" s="10"/>
      <c r="J343" s="10"/>
      <c r="K343" s="10"/>
      <c r="L343" s="12"/>
      <c r="M343" s="29" t="str">
        <f t="shared" si="1"/>
        <v/>
      </c>
      <c r="N343" s="31" t="str">
        <f>IFERROR(__xludf.DUMMYFUNCTION("IF(Account!$F343&lt;&gt;"""", VALUE(REGEXREPLACE($I343, ""\,"", ""."")), """")"),"")</f>
        <v/>
      </c>
      <c r="O343" s="33" t="str">
        <f>IF(Account!$F343&lt;&gt;"", DATEVALUE(MID($A343,4,3) &amp; LEFT($A343,3) &amp; RIGHT($A343,4)) + TIMEVALUE($B343), "")</f>
        <v/>
      </c>
      <c r="P343" s="34" t="str">
        <f>IF(Account!$F343&lt;&gt;"", DATEVALUE(MID($C343,4,3) &amp; LEFT($C343,3) &amp; RIGHT($C343,4)), "")</f>
        <v/>
      </c>
      <c r="Q343" s="35" t="str">
        <f t="array" ref="Q343">IF($R343&lt;&gt;"",IFERROR(INDEX(Investment!$A:$A,MATCH($R343,Investment!$H:$H,0))),)</f>
        <v/>
      </c>
      <c r="R343" s="36" t="str">
        <f t="array" ref="R343">IF(AND($Y343="change",$H343="EUR"),IF(AND($AA343="Crédit",$O343=$O344),$R344,IF(AND($AA343="Débit",$O343=$O342),$R342)),IF(OR(AND(OR($E343&lt;&gt;"",$M343=""),$N343&lt;&gt;0),$A343=""),IFERROR(INDEX(Investment!$H:$H,MATCH($E343,Investment!$F:$F,0))),IFERROR(INDEX($R344:$R1119,MATCH(SUBSTITUTE($I343,"-","",1),$K344:$K1119,0)),INDEX($R344:$R1119,MATCH($K343,$K344:$K1119,0)))))</f>
        <v/>
      </c>
      <c r="S343" s="35" t="str">
        <f t="shared" si="2"/>
        <v/>
      </c>
      <c r="T343" s="37" t="str">
        <f t="shared" si="3"/>
        <v/>
      </c>
      <c r="U343" s="38" t="str">
        <f t="shared" si="4"/>
        <v/>
      </c>
      <c r="V343" s="31" t="str">
        <f t="shared" si="5"/>
        <v/>
      </c>
      <c r="W343" s="39" t="str">
        <f>IFERROR(__xludf.DUMMYFUNCTION(" IF(Account!$F343&lt;&gt;"""", SPLIT(Account!$F343, "" ""), """")"),"")</f>
        <v/>
      </c>
      <c r="X343" s="40"/>
      <c r="Y343" s="40"/>
      <c r="Z343" s="40"/>
      <c r="AA343" s="40"/>
      <c r="AB343" s="40"/>
      <c r="AC343" s="40"/>
      <c r="AD343" s="40"/>
      <c r="AE343" s="40"/>
      <c r="AF343" s="40"/>
      <c r="AG343" s="40"/>
      <c r="AH343" s="40"/>
      <c r="AI343" s="40"/>
      <c r="AJ343" s="40"/>
      <c r="AK343" s="40"/>
    </row>
    <row r="344">
      <c r="A344" s="10"/>
      <c r="B344" s="10"/>
      <c r="C344" s="10"/>
      <c r="D344" s="10"/>
      <c r="E344" s="10"/>
      <c r="F344" s="12"/>
      <c r="G344" s="10"/>
      <c r="H344" s="10"/>
      <c r="I344" s="10"/>
      <c r="J344" s="10"/>
      <c r="K344" s="10"/>
      <c r="L344" s="12"/>
      <c r="M344" s="29" t="str">
        <f t="shared" si="1"/>
        <v/>
      </c>
      <c r="N344" s="31" t="str">
        <f>IFERROR(__xludf.DUMMYFUNCTION("IF(Account!$F344&lt;&gt;"""", VALUE(REGEXREPLACE($I344, ""\,"", ""."")), """")"),"")</f>
        <v/>
      </c>
      <c r="O344" s="33" t="str">
        <f>IF(Account!$F344&lt;&gt;"", DATEVALUE(MID($A344,4,3) &amp; LEFT($A344,3) &amp; RIGHT($A344,4)) + TIMEVALUE($B344), "")</f>
        <v/>
      </c>
      <c r="P344" s="34" t="str">
        <f>IF(Account!$F344&lt;&gt;"", DATEVALUE(MID($C344,4,3) &amp; LEFT($C344,3) &amp; RIGHT($C344,4)), "")</f>
        <v/>
      </c>
      <c r="Q344" s="35" t="str">
        <f t="array" ref="Q344">IF($R344&lt;&gt;"",IFERROR(INDEX(Investment!$A:$A,MATCH($R344,Investment!$H:$H,0))),)</f>
        <v/>
      </c>
      <c r="R344" s="36" t="str">
        <f t="array" ref="R344">IF(AND($Y344="change",$H344="EUR"),IF(AND($AA344="Crédit",$O344=$O345),$R345,IF(AND($AA344="Débit",$O344=$O343),$R343)),IF(OR(AND(OR($E344&lt;&gt;"",$M344=""),$N344&lt;&gt;0),$A344=""),IFERROR(INDEX(Investment!$H:$H,MATCH($E344,Investment!$F:$F,0))),IFERROR(INDEX($R345:$R1119,MATCH(SUBSTITUTE($I344,"-","",1),$K345:$K1119,0)),INDEX($R345:$R1119,MATCH($K344,$K345:$K1119,0)))))</f>
        <v/>
      </c>
      <c r="S344" s="35" t="str">
        <f t="shared" si="2"/>
        <v/>
      </c>
      <c r="T344" s="37" t="str">
        <f t="shared" si="3"/>
        <v/>
      </c>
      <c r="U344" s="38" t="str">
        <f t="shared" si="4"/>
        <v/>
      </c>
      <c r="V344" s="31" t="str">
        <f t="shared" si="5"/>
        <v/>
      </c>
      <c r="W344" s="39" t="str">
        <f>IFERROR(__xludf.DUMMYFUNCTION(" IF(Account!$F344&lt;&gt;"""", SPLIT(Account!$F344, "" ""), """")"),"")</f>
        <v/>
      </c>
      <c r="X344" s="40"/>
      <c r="Y344" s="40"/>
      <c r="Z344" s="40"/>
      <c r="AA344" s="40"/>
      <c r="AB344" s="40"/>
      <c r="AC344" s="40"/>
      <c r="AD344" s="40"/>
      <c r="AE344" s="40"/>
      <c r="AF344" s="40"/>
      <c r="AG344" s="40"/>
      <c r="AH344" s="40"/>
      <c r="AI344" s="40"/>
      <c r="AJ344" s="40"/>
      <c r="AK344" s="40"/>
    </row>
    <row r="345">
      <c r="A345" s="10"/>
      <c r="B345" s="10"/>
      <c r="C345" s="10"/>
      <c r="D345" s="10"/>
      <c r="E345" s="10"/>
      <c r="F345" s="12"/>
      <c r="G345" s="300"/>
      <c r="H345" s="10"/>
      <c r="I345" s="10"/>
      <c r="J345" s="10"/>
      <c r="K345" s="10"/>
      <c r="L345" s="12"/>
      <c r="M345" s="29" t="str">
        <f t="shared" si="1"/>
        <v/>
      </c>
      <c r="N345" s="31" t="str">
        <f>IFERROR(__xludf.DUMMYFUNCTION("IF(Account!$F345&lt;&gt;"""", VALUE(REGEXREPLACE($I345, ""\,"", ""."")), """")"),"")</f>
        <v/>
      </c>
      <c r="O345" s="33" t="str">
        <f>IF(Account!$F345&lt;&gt;"", DATEVALUE(MID($A345,4,3) &amp; LEFT($A345,3) &amp; RIGHT($A345,4)) + TIMEVALUE($B345), "")</f>
        <v/>
      </c>
      <c r="P345" s="34" t="str">
        <f>IF(Account!$F345&lt;&gt;"", DATEVALUE(MID($C345,4,3) &amp; LEFT($C345,3) &amp; RIGHT($C345,4)), "")</f>
        <v/>
      </c>
      <c r="Q345" s="35" t="str">
        <f t="array" ref="Q345">IF($R345&lt;&gt;"",IFERROR(INDEX(Investment!$A:$A,MATCH($R345,Investment!$H:$H,0))),)</f>
        <v/>
      </c>
      <c r="R345" s="36" t="str">
        <f t="array" ref="R345">IF(AND($Y345="change",$H345="EUR"),IF(AND($AA345="Crédit",$O345=$O346),$R346,IF(AND($AA345="Débit",$O345=$O344),$R344)),IF(OR(AND(OR($E345&lt;&gt;"",$M345=""),$N345&lt;&gt;0),$A345=""),IFERROR(INDEX(Investment!$H:$H,MATCH($E345,Investment!$F:$F,0))),IFERROR(INDEX($R346:$R1119,MATCH(SUBSTITUTE($I345,"-","",1),$K346:$K1119,0)),INDEX($R346:$R1119,MATCH($K345,$K346:$K1119,0)))))</f>
        <v/>
      </c>
      <c r="S345" s="35" t="str">
        <f t="shared" si="2"/>
        <v/>
      </c>
      <c r="T345" s="37" t="str">
        <f t="shared" si="3"/>
        <v/>
      </c>
      <c r="U345" s="38" t="str">
        <f t="shared" si="4"/>
        <v/>
      </c>
      <c r="V345" s="31" t="str">
        <f t="shared" si="5"/>
        <v/>
      </c>
      <c r="W345" s="39" t="str">
        <f>IFERROR(__xludf.DUMMYFUNCTION(" IF(Account!$F345&lt;&gt;"""", SPLIT(Account!$F345, "" ""), """")"),"")</f>
        <v/>
      </c>
      <c r="X345" s="40"/>
      <c r="Y345" s="40"/>
      <c r="Z345" s="40"/>
      <c r="AA345" s="40"/>
      <c r="AB345" s="40"/>
      <c r="AC345" s="40"/>
      <c r="AD345" s="40"/>
      <c r="AE345" s="40"/>
      <c r="AF345" s="40"/>
      <c r="AG345" s="40"/>
      <c r="AH345" s="40"/>
      <c r="AI345" s="40"/>
      <c r="AJ345" s="40"/>
      <c r="AK345" s="40"/>
    </row>
    <row r="346">
      <c r="A346" s="10"/>
      <c r="B346" s="10"/>
      <c r="C346" s="10"/>
      <c r="D346" s="10"/>
      <c r="E346" s="10"/>
      <c r="F346" s="12"/>
      <c r="G346" s="300"/>
      <c r="H346" s="10"/>
      <c r="I346" s="10"/>
      <c r="J346" s="10"/>
      <c r="K346" s="10"/>
      <c r="L346" s="12"/>
      <c r="M346" s="29" t="str">
        <f t="shared" si="1"/>
        <v/>
      </c>
      <c r="N346" s="31" t="str">
        <f>IFERROR(__xludf.DUMMYFUNCTION("IF(Account!$F346&lt;&gt;"""", VALUE(REGEXREPLACE($I346, ""\,"", ""."")), """")"),"")</f>
        <v/>
      </c>
      <c r="O346" s="33" t="str">
        <f>IF(Account!$F346&lt;&gt;"", DATEVALUE(MID($A346,4,3) &amp; LEFT($A346,3) &amp; RIGHT($A346,4)) + TIMEVALUE($B346), "")</f>
        <v/>
      </c>
      <c r="P346" s="34" t="str">
        <f>IF(Account!$F346&lt;&gt;"", DATEVALUE(MID($C346,4,3) &amp; LEFT($C346,3) &amp; RIGHT($C346,4)), "")</f>
        <v/>
      </c>
      <c r="Q346" s="35" t="str">
        <f t="array" ref="Q346">IF($R346&lt;&gt;"",IFERROR(INDEX(Investment!$A:$A,MATCH($R346,Investment!$H:$H,0))),)</f>
        <v/>
      </c>
      <c r="R346" s="36" t="str">
        <f t="array" ref="R346">IF(AND($Y346="change",$H346="EUR"),IF(AND($AA346="Crédit",$O346=$O347),$R347,IF(AND($AA346="Débit",$O346=$O345),$R345)),IF(OR(AND(OR($E346&lt;&gt;"",$M346=""),$N346&lt;&gt;0),$A346=""),IFERROR(INDEX(Investment!$H:$H,MATCH($E346,Investment!$F:$F,0))),IFERROR(INDEX($R347:$R1119,MATCH(SUBSTITUTE($I346,"-","",1),$K347:$K1119,0)),INDEX($R347:$R1119,MATCH($K346,$K347:$K1119,0)))))</f>
        <v/>
      </c>
      <c r="S346" s="35" t="str">
        <f t="shared" si="2"/>
        <v/>
      </c>
      <c r="T346" s="37" t="str">
        <f t="shared" si="3"/>
        <v/>
      </c>
      <c r="U346" s="38" t="str">
        <f t="shared" si="4"/>
        <v/>
      </c>
      <c r="V346" s="31" t="str">
        <f t="shared" si="5"/>
        <v/>
      </c>
      <c r="W346" s="39" t="str">
        <f>IFERROR(__xludf.DUMMYFUNCTION(" IF(Account!$F346&lt;&gt;"""", SPLIT(Account!$F346, "" ""), """")"),"")</f>
        <v/>
      </c>
      <c r="X346" s="40"/>
      <c r="Y346" s="40"/>
      <c r="Z346" s="40"/>
      <c r="AA346" s="40"/>
      <c r="AB346" s="40"/>
      <c r="AC346" s="40"/>
      <c r="AD346" s="40"/>
      <c r="AE346" s="40"/>
      <c r="AF346" s="40"/>
      <c r="AG346" s="40"/>
      <c r="AH346" s="40"/>
      <c r="AI346" s="40"/>
      <c r="AJ346" s="40"/>
      <c r="AK346" s="40"/>
    </row>
    <row r="347">
      <c r="A347" s="10"/>
      <c r="B347" s="10"/>
      <c r="C347" s="10"/>
      <c r="D347" s="10"/>
      <c r="E347" s="10"/>
      <c r="F347" s="12"/>
      <c r="G347" s="300"/>
      <c r="H347" s="10"/>
      <c r="I347" s="10"/>
      <c r="J347" s="10"/>
      <c r="K347" s="10"/>
      <c r="L347" s="12"/>
      <c r="M347" s="29" t="str">
        <f t="shared" si="1"/>
        <v/>
      </c>
      <c r="N347" s="31" t="str">
        <f>IFERROR(__xludf.DUMMYFUNCTION("IF(Account!$F347&lt;&gt;"""", VALUE(REGEXREPLACE($I347, ""\,"", ""."")), """")"),"")</f>
        <v/>
      </c>
      <c r="O347" s="33" t="str">
        <f>IF(Account!$F347&lt;&gt;"", DATEVALUE(MID($A347,4,3) &amp; LEFT($A347,3) &amp; RIGHT($A347,4)) + TIMEVALUE($B347), "")</f>
        <v/>
      </c>
      <c r="P347" s="34" t="str">
        <f>IF(Account!$F347&lt;&gt;"", DATEVALUE(MID($C347,4,3) &amp; LEFT($C347,3) &amp; RIGHT($C347,4)), "")</f>
        <v/>
      </c>
      <c r="Q347" s="35" t="str">
        <f t="array" ref="Q347">IF($R347&lt;&gt;"",IFERROR(INDEX(Investment!$A:$A,MATCH($R347,Investment!$H:$H,0))),)</f>
        <v/>
      </c>
      <c r="R347" s="36" t="str">
        <f t="array" ref="R347">IF(AND($Y347="change",$H347="EUR"),IF(AND($AA347="Crédit",$O347=$O348),$R348,IF(AND($AA347="Débit",$O347=$O346),$R346)),IF(OR(AND(OR($E347&lt;&gt;"",$M347=""),$N347&lt;&gt;0),$A347=""),IFERROR(INDEX(Investment!$H:$H,MATCH($E347,Investment!$F:$F,0))),IFERROR(INDEX($R348:$R1119,MATCH(SUBSTITUTE($I347,"-","",1),$K348:$K1119,0)),INDEX($R348:$R1119,MATCH($K347,$K348:$K1119,0)))))</f>
        <v/>
      </c>
      <c r="S347" s="35" t="str">
        <f t="shared" si="2"/>
        <v/>
      </c>
      <c r="T347" s="37" t="str">
        <f t="shared" si="3"/>
        <v/>
      </c>
      <c r="U347" s="38" t="str">
        <f t="shared" si="4"/>
        <v/>
      </c>
      <c r="V347" s="31" t="str">
        <f t="shared" si="5"/>
        <v/>
      </c>
      <c r="W347" s="39" t="str">
        <f>IFERROR(__xludf.DUMMYFUNCTION(" IF(Account!$F347&lt;&gt;"""", SPLIT(Account!$F347, "" ""), """")"),"")</f>
        <v/>
      </c>
      <c r="X347" s="40"/>
      <c r="Y347" s="40"/>
      <c r="Z347" s="40"/>
      <c r="AA347" s="40"/>
      <c r="AB347" s="40"/>
      <c r="AC347" s="40"/>
      <c r="AD347" s="40"/>
      <c r="AE347" s="40"/>
      <c r="AF347" s="40"/>
      <c r="AG347" s="40"/>
      <c r="AH347" s="40"/>
      <c r="AI347" s="40"/>
      <c r="AJ347" s="40"/>
      <c r="AK347" s="40"/>
    </row>
    <row r="348">
      <c r="A348" s="10"/>
      <c r="B348" s="10"/>
      <c r="C348" s="10"/>
      <c r="D348" s="10"/>
      <c r="E348" s="10"/>
      <c r="F348" s="12"/>
      <c r="G348" s="300"/>
      <c r="H348" s="10"/>
      <c r="I348" s="10"/>
      <c r="J348" s="10"/>
      <c r="K348" s="10"/>
      <c r="L348" s="12"/>
      <c r="M348" s="29" t="str">
        <f t="shared" si="1"/>
        <v/>
      </c>
      <c r="N348" s="31" t="str">
        <f>IFERROR(__xludf.DUMMYFUNCTION("IF(Account!$F348&lt;&gt;"""", VALUE(REGEXREPLACE($I348, ""\,"", ""."")), """")"),"")</f>
        <v/>
      </c>
      <c r="O348" s="33" t="str">
        <f>IF(Account!$F348&lt;&gt;"", DATEVALUE(MID($A348,4,3) &amp; LEFT($A348,3) &amp; RIGHT($A348,4)) + TIMEVALUE($B348), "")</f>
        <v/>
      </c>
      <c r="P348" s="34" t="str">
        <f>IF(Account!$F348&lt;&gt;"", DATEVALUE(MID($C348,4,3) &amp; LEFT($C348,3) &amp; RIGHT($C348,4)), "")</f>
        <v/>
      </c>
      <c r="Q348" s="35" t="str">
        <f t="array" ref="Q348">IF($R348&lt;&gt;"",IFERROR(INDEX(Investment!$A:$A,MATCH($R348,Investment!$H:$H,0))),)</f>
        <v/>
      </c>
      <c r="R348" s="36" t="str">
        <f t="array" ref="R348">IF(AND($Y348="change",$H348="EUR"),IF(AND($AA348="Crédit",$O348=$O349),$R349,IF(AND($AA348="Débit",$O348=$O347),$R347)),IF(OR(AND(OR($E348&lt;&gt;"",$M348=""),$N348&lt;&gt;0),$A348=""),IFERROR(INDEX(Investment!$H:$H,MATCH($E348,Investment!$F:$F,0))),IFERROR(INDEX($R349:$R1119,MATCH(SUBSTITUTE($I348,"-","",1),$K349:$K1119,0)),INDEX($R349:$R1119,MATCH($K348,$K349:$K1119,0)))))</f>
        <v/>
      </c>
      <c r="S348" s="35" t="str">
        <f t="shared" si="2"/>
        <v/>
      </c>
      <c r="T348" s="37" t="str">
        <f t="shared" si="3"/>
        <v/>
      </c>
      <c r="U348" s="38" t="str">
        <f t="shared" si="4"/>
        <v/>
      </c>
      <c r="V348" s="31" t="str">
        <f t="shared" si="5"/>
        <v/>
      </c>
      <c r="W348" s="39" t="str">
        <f>IFERROR(__xludf.DUMMYFUNCTION(" IF(Account!$F348&lt;&gt;"""", SPLIT(Account!$F348, "" ""), """")"),"")</f>
        <v/>
      </c>
      <c r="X348" s="40"/>
      <c r="Y348" s="40"/>
      <c r="Z348" s="40"/>
      <c r="AA348" s="40"/>
      <c r="AB348" s="40"/>
      <c r="AC348" s="40"/>
      <c r="AD348" s="40"/>
      <c r="AE348" s="40"/>
      <c r="AF348" s="40"/>
      <c r="AG348" s="40"/>
      <c r="AH348" s="40"/>
      <c r="AI348" s="40"/>
      <c r="AJ348" s="40"/>
      <c r="AK348" s="40"/>
    </row>
    <row r="349">
      <c r="A349" s="10"/>
      <c r="B349" s="10"/>
      <c r="C349" s="10"/>
      <c r="D349" s="10"/>
      <c r="E349" s="10"/>
      <c r="F349" s="12"/>
      <c r="G349" s="10"/>
      <c r="H349" s="10"/>
      <c r="I349" s="10"/>
      <c r="J349" s="10"/>
      <c r="K349" s="10"/>
      <c r="L349" s="12"/>
      <c r="M349" s="29" t="str">
        <f t="shared" si="1"/>
        <v/>
      </c>
      <c r="N349" s="31" t="str">
        <f>IFERROR(__xludf.DUMMYFUNCTION("IF(Account!$F349&lt;&gt;"""", VALUE(REGEXREPLACE($I349, ""\,"", ""."")), """")"),"")</f>
        <v/>
      </c>
      <c r="O349" s="33" t="str">
        <f>IF(Account!$F349&lt;&gt;"", DATEVALUE(MID($A349,4,3) &amp; LEFT($A349,3) &amp; RIGHT($A349,4)) + TIMEVALUE($B349), "")</f>
        <v/>
      </c>
      <c r="P349" s="34" t="str">
        <f>IF(Account!$F349&lt;&gt;"", DATEVALUE(MID($C349,4,3) &amp; LEFT($C349,3) &amp; RIGHT($C349,4)), "")</f>
        <v/>
      </c>
      <c r="Q349" s="35" t="str">
        <f t="array" ref="Q349">IF($R349&lt;&gt;"",IFERROR(INDEX(Investment!$A:$A,MATCH($R349,Investment!$H:$H,0))),)</f>
        <v/>
      </c>
      <c r="R349" s="36" t="str">
        <f t="array" ref="R349">IF(AND($Y349="change",$H349="EUR"),IF(AND($AA349="Crédit",$O349=$O350),$R350,IF(AND($AA349="Débit",$O349=$O348),$R348)),IF(OR(AND(OR($E349&lt;&gt;"",$M349=""),$N349&lt;&gt;0),$A349=""),IFERROR(INDEX(Investment!$H:$H,MATCH($E349,Investment!$F:$F,0))),IFERROR(INDEX($R350:$R1119,MATCH(SUBSTITUTE($I349,"-","",1),$K350:$K1119,0)),INDEX($R350:$R1119,MATCH($K349,$K350:$K1119,0)))))</f>
        <v/>
      </c>
      <c r="S349" s="35" t="str">
        <f t="shared" si="2"/>
        <v/>
      </c>
      <c r="T349" s="37" t="str">
        <f t="shared" si="3"/>
        <v/>
      </c>
      <c r="U349" s="38" t="str">
        <f t="shared" si="4"/>
        <v/>
      </c>
      <c r="V349" s="31" t="str">
        <f t="shared" si="5"/>
        <v/>
      </c>
      <c r="W349" s="39" t="str">
        <f>IFERROR(__xludf.DUMMYFUNCTION(" IF(Account!$F349&lt;&gt;"""", SPLIT(Account!$F349, "" ""), """")"),"")</f>
        <v/>
      </c>
      <c r="X349" s="40"/>
      <c r="Y349" s="40"/>
      <c r="Z349" s="40"/>
      <c r="AA349" s="40"/>
      <c r="AB349" s="40"/>
      <c r="AC349" s="40"/>
      <c r="AD349" s="40"/>
      <c r="AE349" s="40"/>
      <c r="AF349" s="40"/>
      <c r="AG349" s="40"/>
      <c r="AH349" s="40"/>
      <c r="AI349" s="40"/>
      <c r="AJ349" s="40"/>
      <c r="AK349" s="40"/>
    </row>
    <row r="350">
      <c r="A350" s="10"/>
      <c r="B350" s="10"/>
      <c r="C350" s="10"/>
      <c r="D350" s="10"/>
      <c r="E350" s="10"/>
      <c r="F350" s="12"/>
      <c r="G350" s="300"/>
      <c r="H350" s="10"/>
      <c r="I350" s="10"/>
      <c r="J350" s="10"/>
      <c r="K350" s="10"/>
      <c r="L350" s="12"/>
      <c r="M350" s="29" t="str">
        <f t="shared" si="1"/>
        <v/>
      </c>
      <c r="N350" s="31" t="str">
        <f>IFERROR(__xludf.DUMMYFUNCTION("IF(Account!$F350&lt;&gt;"""", VALUE(REGEXREPLACE($I350, ""\,"", ""."")), """")"),"")</f>
        <v/>
      </c>
      <c r="O350" s="33" t="str">
        <f>IF(Account!$F350&lt;&gt;"", DATEVALUE(MID($A350,4,3) &amp; LEFT($A350,3) &amp; RIGHT($A350,4)) + TIMEVALUE($B350), "")</f>
        <v/>
      </c>
      <c r="P350" s="34" t="str">
        <f>IF(Account!$F350&lt;&gt;"", DATEVALUE(MID($C350,4,3) &amp; LEFT($C350,3) &amp; RIGHT($C350,4)), "")</f>
        <v/>
      </c>
      <c r="Q350" s="35" t="str">
        <f t="array" ref="Q350">IF($R350&lt;&gt;"",IFERROR(INDEX(Investment!$A:$A,MATCH($R350,Investment!$H:$H,0))),)</f>
        <v/>
      </c>
      <c r="R350" s="36" t="str">
        <f t="array" ref="R350">IF(AND($Y350="change",$H350="EUR"),IF(AND($AA350="Crédit",$O350=$O351),$R351,IF(AND($AA350="Débit",$O350=$O349),$R349)),IF(OR(AND(OR($E350&lt;&gt;"",$M350=""),$N350&lt;&gt;0),$A350=""),IFERROR(INDEX(Investment!$H:$H,MATCH($E350,Investment!$F:$F,0))),IFERROR(INDEX($R351:$R1119,MATCH(SUBSTITUTE($I350,"-","",1),$K351:$K1119,0)),INDEX($R351:$R1119,MATCH($K350,$K351:$K1119,0)))))</f>
        <v/>
      </c>
      <c r="S350" s="35" t="str">
        <f t="shared" si="2"/>
        <v/>
      </c>
      <c r="T350" s="37" t="str">
        <f t="shared" si="3"/>
        <v/>
      </c>
      <c r="U350" s="38" t="str">
        <f t="shared" si="4"/>
        <v/>
      </c>
      <c r="V350" s="31" t="str">
        <f t="shared" si="5"/>
        <v/>
      </c>
      <c r="W350" s="39" t="str">
        <f>IFERROR(__xludf.DUMMYFUNCTION(" IF(Account!$F350&lt;&gt;"""", SPLIT(Account!$F350, "" ""), """")"),"")</f>
        <v/>
      </c>
      <c r="X350" s="40"/>
      <c r="Y350" s="40"/>
      <c r="Z350" s="40"/>
      <c r="AA350" s="40"/>
      <c r="AB350" s="40"/>
      <c r="AC350" s="40"/>
      <c r="AD350" s="40"/>
      <c r="AE350" s="40"/>
      <c r="AF350" s="40"/>
      <c r="AG350" s="40"/>
      <c r="AH350" s="40"/>
      <c r="AI350" s="40"/>
      <c r="AJ350" s="40"/>
      <c r="AK350" s="40"/>
    </row>
    <row r="351">
      <c r="A351" s="10"/>
      <c r="B351" s="10"/>
      <c r="C351" s="10"/>
      <c r="D351" s="10"/>
      <c r="E351" s="10"/>
      <c r="F351" s="12"/>
      <c r="G351" s="10"/>
      <c r="H351" s="10"/>
      <c r="I351" s="10"/>
      <c r="J351" s="10"/>
      <c r="K351" s="10"/>
      <c r="L351" s="12"/>
      <c r="M351" s="29" t="str">
        <f t="shared" si="1"/>
        <v/>
      </c>
      <c r="N351" s="31" t="str">
        <f>IFERROR(__xludf.DUMMYFUNCTION("IF(Account!$F351&lt;&gt;"""", VALUE(REGEXREPLACE($I351, ""\,"", ""."")), """")"),"")</f>
        <v/>
      </c>
      <c r="O351" s="33" t="str">
        <f>IF(Account!$F351&lt;&gt;"", DATEVALUE(MID($A351,4,3) &amp; LEFT($A351,3) &amp; RIGHT($A351,4)) + TIMEVALUE($B351), "")</f>
        <v/>
      </c>
      <c r="P351" s="34" t="str">
        <f>IF(Account!$F351&lt;&gt;"", DATEVALUE(MID($C351,4,3) &amp; LEFT($C351,3) &amp; RIGHT($C351,4)), "")</f>
        <v/>
      </c>
      <c r="Q351" s="35" t="str">
        <f t="array" ref="Q351">IF($R351&lt;&gt;"",IFERROR(INDEX(Investment!$A:$A,MATCH($R351,Investment!$H:$H,0))),)</f>
        <v/>
      </c>
      <c r="R351" s="36" t="str">
        <f t="array" ref="R351">IF(AND($Y351="change",$H351="EUR"),IF(AND($AA351="Crédit",$O351=$O352),$R352,IF(AND($AA351="Débit",$O351=$O350),$R350)),IF(OR(AND(OR($E351&lt;&gt;"",$M351=""),$N351&lt;&gt;0),$A351=""),IFERROR(INDEX(Investment!$H:$H,MATCH($E351,Investment!$F:$F,0))),IFERROR(INDEX($R352:$R1119,MATCH(SUBSTITUTE($I351,"-","",1),$K352:$K1119,0)),INDEX($R352:$R1119,MATCH($K351,$K352:$K1119,0)))))</f>
        <v/>
      </c>
      <c r="S351" s="35" t="str">
        <f t="shared" si="2"/>
        <v/>
      </c>
      <c r="T351" s="37" t="str">
        <f t="shared" si="3"/>
        <v/>
      </c>
      <c r="U351" s="38" t="str">
        <f t="shared" si="4"/>
        <v/>
      </c>
      <c r="V351" s="31" t="str">
        <f t="shared" si="5"/>
        <v/>
      </c>
      <c r="W351" s="39" t="str">
        <f>IFERROR(__xludf.DUMMYFUNCTION(" IF(Account!$F351&lt;&gt;"""", SPLIT(Account!$F351, "" ""), """")"),"")</f>
        <v/>
      </c>
      <c r="X351" s="40"/>
      <c r="Y351" s="40"/>
      <c r="Z351" s="40"/>
      <c r="AA351" s="40"/>
      <c r="AB351" s="40"/>
      <c r="AC351" s="40"/>
      <c r="AD351" s="40"/>
      <c r="AE351" s="40"/>
      <c r="AF351" s="40"/>
      <c r="AG351" s="40"/>
      <c r="AH351" s="40"/>
      <c r="AI351" s="40"/>
      <c r="AJ351" s="40"/>
      <c r="AK351" s="40"/>
    </row>
    <row r="352">
      <c r="A352" s="10"/>
      <c r="B352" s="10"/>
      <c r="C352" s="10"/>
      <c r="D352" s="10"/>
      <c r="E352" s="10"/>
      <c r="F352" s="12"/>
      <c r="G352" s="300"/>
      <c r="H352" s="10"/>
      <c r="I352" s="10"/>
      <c r="J352" s="10"/>
      <c r="K352" s="10"/>
      <c r="L352" s="12"/>
      <c r="M352" s="29" t="str">
        <f t="shared" si="1"/>
        <v/>
      </c>
      <c r="N352" s="31" t="str">
        <f>IFERROR(__xludf.DUMMYFUNCTION("IF(Account!$F352&lt;&gt;"""", VALUE(REGEXREPLACE($I352, ""\,"", ""."")), """")"),"")</f>
        <v/>
      </c>
      <c r="O352" s="33" t="str">
        <f>IF(Account!$F352&lt;&gt;"", DATEVALUE(MID($A352,4,3) &amp; LEFT($A352,3) &amp; RIGHT($A352,4)) + TIMEVALUE($B352), "")</f>
        <v/>
      </c>
      <c r="P352" s="34" t="str">
        <f>IF(Account!$F352&lt;&gt;"", DATEVALUE(MID($C352,4,3) &amp; LEFT($C352,3) &amp; RIGHT($C352,4)), "")</f>
        <v/>
      </c>
      <c r="Q352" s="35" t="str">
        <f t="array" ref="Q352">IF($R352&lt;&gt;"",IFERROR(INDEX(Investment!$A:$A,MATCH($R352,Investment!$H:$H,0))),)</f>
        <v/>
      </c>
      <c r="R352" s="36" t="str">
        <f t="array" ref="R352">IF(AND($Y352="change",$H352="EUR"),IF(AND($AA352="Crédit",$O352=$O353),$R353,IF(AND($AA352="Débit",$O352=$O351),$R351)),IF(OR(AND(OR($E352&lt;&gt;"",$M352=""),$N352&lt;&gt;0),$A352=""),IFERROR(INDEX(Investment!$H:$H,MATCH($E352,Investment!$F:$F,0))),IFERROR(INDEX($R353:$R1119,MATCH(SUBSTITUTE($I352,"-","",1),$K353:$K1119,0)),INDEX($R353:$R1119,MATCH($K352,$K353:$K1119,0)))))</f>
        <v/>
      </c>
      <c r="S352" s="35" t="str">
        <f t="shared" si="2"/>
        <v/>
      </c>
      <c r="T352" s="37" t="str">
        <f t="shared" si="3"/>
        <v/>
      </c>
      <c r="U352" s="38" t="str">
        <f t="shared" si="4"/>
        <v/>
      </c>
      <c r="V352" s="31" t="str">
        <f t="shared" si="5"/>
        <v/>
      </c>
      <c r="W352" s="39" t="str">
        <f>IFERROR(__xludf.DUMMYFUNCTION(" IF(Account!$F352&lt;&gt;"""", SPLIT(Account!$F352, "" ""), """")"),"")</f>
        <v/>
      </c>
      <c r="X352" s="40"/>
      <c r="Y352" s="40"/>
      <c r="Z352" s="40"/>
      <c r="AA352" s="40"/>
      <c r="AB352" s="40"/>
      <c r="AC352" s="40"/>
      <c r="AD352" s="40"/>
      <c r="AE352" s="40"/>
      <c r="AF352" s="40"/>
      <c r="AG352" s="40"/>
      <c r="AH352" s="40"/>
      <c r="AI352" s="40"/>
      <c r="AJ352" s="40"/>
      <c r="AK352" s="40"/>
    </row>
    <row r="353">
      <c r="A353" s="10"/>
      <c r="B353" s="10"/>
      <c r="C353" s="10"/>
      <c r="D353" s="10"/>
      <c r="E353" s="10"/>
      <c r="F353" s="12"/>
      <c r="G353" s="10"/>
      <c r="H353" s="10"/>
      <c r="I353" s="10"/>
      <c r="J353" s="10"/>
      <c r="K353" s="10"/>
      <c r="L353" s="12"/>
      <c r="M353" s="29" t="str">
        <f t="shared" si="1"/>
        <v/>
      </c>
      <c r="N353" s="31" t="str">
        <f>IFERROR(__xludf.DUMMYFUNCTION("IF(Account!$F353&lt;&gt;"""", VALUE(REGEXREPLACE($I353, ""\,"", ""."")), """")"),"")</f>
        <v/>
      </c>
      <c r="O353" s="33" t="str">
        <f>IF(Account!$F353&lt;&gt;"", DATEVALUE(MID($A353,4,3) &amp; LEFT($A353,3) &amp; RIGHT($A353,4)) + TIMEVALUE($B353), "")</f>
        <v/>
      </c>
      <c r="P353" s="34" t="str">
        <f>IF(Account!$F353&lt;&gt;"", DATEVALUE(MID($C353,4,3) &amp; LEFT($C353,3) &amp; RIGHT($C353,4)), "")</f>
        <v/>
      </c>
      <c r="Q353" s="35" t="str">
        <f t="array" ref="Q353">IF($R353&lt;&gt;"",IFERROR(INDEX(Investment!$A:$A,MATCH($R353,Investment!$H:$H,0))),)</f>
        <v/>
      </c>
      <c r="R353" s="36" t="str">
        <f t="array" ref="R353">IF(AND($Y353="change",$H353="EUR"),IF(AND($AA353="Crédit",$O353=$O354),$R354,IF(AND($AA353="Débit",$O353=$O352),$R352)),IF(OR(AND(OR($E353&lt;&gt;"",$M353=""),$N353&lt;&gt;0),$A353=""),IFERROR(INDEX(Investment!$H:$H,MATCH($E353,Investment!$F:$F,0))),IFERROR(INDEX($R354:$R1119,MATCH(SUBSTITUTE($I353,"-","",1),$K354:$K1119,0)),INDEX($R354:$R1119,MATCH($K353,$K354:$K1119,0)))))</f>
        <v/>
      </c>
      <c r="S353" s="35" t="str">
        <f t="shared" si="2"/>
        <v/>
      </c>
      <c r="T353" s="37" t="str">
        <f t="shared" si="3"/>
        <v/>
      </c>
      <c r="U353" s="38" t="str">
        <f t="shared" si="4"/>
        <v/>
      </c>
      <c r="V353" s="31" t="str">
        <f t="shared" si="5"/>
        <v/>
      </c>
      <c r="W353" s="39" t="str">
        <f>IFERROR(__xludf.DUMMYFUNCTION(" IF(Account!$F353&lt;&gt;"""", SPLIT(Account!$F353, "" ""), """")"),"")</f>
        <v/>
      </c>
      <c r="X353" s="40"/>
      <c r="Y353" s="40"/>
      <c r="Z353" s="40"/>
      <c r="AA353" s="40"/>
      <c r="AB353" s="40"/>
      <c r="AC353" s="40"/>
      <c r="AD353" s="40"/>
      <c r="AE353" s="40"/>
      <c r="AF353" s="40"/>
      <c r="AG353" s="40"/>
      <c r="AH353" s="40"/>
      <c r="AI353" s="40"/>
      <c r="AJ353" s="40"/>
      <c r="AK353" s="40"/>
    </row>
    <row r="354">
      <c r="A354" s="10"/>
      <c r="B354" s="10"/>
      <c r="C354" s="10"/>
      <c r="D354" s="10"/>
      <c r="E354" s="10"/>
      <c r="F354" s="12"/>
      <c r="G354" s="300"/>
      <c r="H354" s="10"/>
      <c r="I354" s="10"/>
      <c r="J354" s="10"/>
      <c r="K354" s="10"/>
      <c r="L354" s="12"/>
      <c r="M354" s="29" t="str">
        <f t="shared" si="1"/>
        <v/>
      </c>
      <c r="N354" s="31" t="str">
        <f>IFERROR(__xludf.DUMMYFUNCTION("IF(Account!$F354&lt;&gt;"""", VALUE(REGEXREPLACE($I354, ""\,"", ""."")), """")"),"")</f>
        <v/>
      </c>
      <c r="O354" s="33" t="str">
        <f>IF(Account!$F354&lt;&gt;"", DATEVALUE(MID($A354,4,3) &amp; LEFT($A354,3) &amp; RIGHT($A354,4)) + TIMEVALUE($B354), "")</f>
        <v/>
      </c>
      <c r="P354" s="34" t="str">
        <f>IF(Account!$F354&lt;&gt;"", DATEVALUE(MID($C354,4,3) &amp; LEFT($C354,3) &amp; RIGHT($C354,4)), "")</f>
        <v/>
      </c>
      <c r="Q354" s="35" t="str">
        <f t="array" ref="Q354">IF($R354&lt;&gt;"",IFERROR(INDEX(Investment!$A:$A,MATCH($R354,Investment!$H:$H,0))),)</f>
        <v/>
      </c>
      <c r="R354" s="36" t="str">
        <f t="array" ref="R354">IF(AND($Y354="change",$H354="EUR"),IF(AND($AA354="Crédit",$O354=$O355),$R355,IF(AND($AA354="Débit",$O354=$O353),$R353)),IF(OR(AND(OR($E354&lt;&gt;"",$M354=""),$N354&lt;&gt;0),$A354=""),IFERROR(INDEX(Investment!$H:$H,MATCH($E354,Investment!$F:$F,0))),IFERROR(INDEX($R355:$R1119,MATCH(SUBSTITUTE($I354,"-","",1),$K355:$K1119,0)),INDEX($R355:$R1119,MATCH($K354,$K355:$K1119,0)))))</f>
        <v/>
      </c>
      <c r="S354" s="35" t="str">
        <f t="shared" si="2"/>
        <v/>
      </c>
      <c r="T354" s="37" t="str">
        <f t="shared" si="3"/>
        <v/>
      </c>
      <c r="U354" s="38" t="str">
        <f t="shared" si="4"/>
        <v/>
      </c>
      <c r="V354" s="31" t="str">
        <f t="shared" si="5"/>
        <v/>
      </c>
      <c r="W354" s="39" t="str">
        <f>IFERROR(__xludf.DUMMYFUNCTION(" IF(Account!$F354&lt;&gt;"""", SPLIT(Account!$F354, "" ""), """")"),"")</f>
        <v/>
      </c>
      <c r="X354" s="40"/>
      <c r="Y354" s="40"/>
      <c r="Z354" s="40"/>
      <c r="AA354" s="40"/>
      <c r="AB354" s="40"/>
      <c r="AC354" s="40"/>
      <c r="AD354" s="40"/>
      <c r="AE354" s="40"/>
      <c r="AF354" s="40"/>
      <c r="AG354" s="40"/>
      <c r="AH354" s="40"/>
      <c r="AI354" s="40"/>
      <c r="AJ354" s="40"/>
      <c r="AK354" s="40"/>
    </row>
    <row r="355">
      <c r="A355" s="10"/>
      <c r="B355" s="10"/>
      <c r="C355" s="10"/>
      <c r="D355" s="10"/>
      <c r="E355" s="10"/>
      <c r="F355" s="12"/>
      <c r="G355" s="10"/>
      <c r="H355" s="10"/>
      <c r="I355" s="10"/>
      <c r="J355" s="10"/>
      <c r="K355" s="10"/>
      <c r="L355" s="12"/>
      <c r="M355" s="29" t="str">
        <f t="shared" si="1"/>
        <v/>
      </c>
      <c r="N355" s="31" t="str">
        <f>IFERROR(__xludf.DUMMYFUNCTION("IF(Account!$F355&lt;&gt;"""", VALUE(REGEXREPLACE($I355, ""\,"", ""."")), """")"),"")</f>
        <v/>
      </c>
      <c r="O355" s="33" t="str">
        <f>IF(Account!$F355&lt;&gt;"", DATEVALUE(MID($A355,4,3) &amp; LEFT($A355,3) &amp; RIGHT($A355,4)) + TIMEVALUE($B355), "")</f>
        <v/>
      </c>
      <c r="P355" s="34" t="str">
        <f>IF(Account!$F355&lt;&gt;"", DATEVALUE(MID($C355,4,3) &amp; LEFT($C355,3) &amp; RIGHT($C355,4)), "")</f>
        <v/>
      </c>
      <c r="Q355" s="35" t="str">
        <f t="array" ref="Q355">IF($R355&lt;&gt;"",IFERROR(INDEX(Investment!$A:$A,MATCH($R355,Investment!$H:$H,0))),)</f>
        <v/>
      </c>
      <c r="R355" s="36" t="str">
        <f t="array" ref="R355">IF(AND($Y355="change",$H355="EUR"),IF(AND($AA355="Crédit",$O355=$O356),$R356,IF(AND($AA355="Débit",$O355=$O354),$R354)),IF(OR(AND(OR($E355&lt;&gt;"",$M355=""),$N355&lt;&gt;0),$A355=""),IFERROR(INDEX(Investment!$H:$H,MATCH($E355,Investment!$F:$F,0))),IFERROR(INDEX($R356:$R1119,MATCH(SUBSTITUTE($I355,"-","",1),$K356:$K1119,0)),INDEX($R356:$R1119,MATCH($K355,$K356:$K1119,0)))))</f>
        <v/>
      </c>
      <c r="S355" s="35" t="str">
        <f t="shared" si="2"/>
        <v/>
      </c>
      <c r="T355" s="37" t="str">
        <f t="shared" si="3"/>
        <v/>
      </c>
      <c r="U355" s="38" t="str">
        <f t="shared" si="4"/>
        <v/>
      </c>
      <c r="V355" s="31" t="str">
        <f t="shared" si="5"/>
        <v/>
      </c>
      <c r="W355" s="39" t="str">
        <f>IFERROR(__xludf.DUMMYFUNCTION(" IF(Account!$F355&lt;&gt;"""", SPLIT(Account!$F355, "" ""), """")"),"")</f>
        <v/>
      </c>
      <c r="X355" s="40"/>
      <c r="Y355" s="40"/>
      <c r="Z355" s="40"/>
      <c r="AA355" s="40"/>
      <c r="AB355" s="40"/>
      <c r="AC355" s="40"/>
      <c r="AD355" s="40"/>
      <c r="AE355" s="40"/>
      <c r="AF355" s="40"/>
      <c r="AG355" s="40"/>
      <c r="AH355" s="40"/>
      <c r="AI355" s="40"/>
      <c r="AJ355" s="40"/>
      <c r="AK355" s="40"/>
    </row>
    <row r="356">
      <c r="A356" s="10"/>
      <c r="B356" s="10"/>
      <c r="C356" s="10"/>
      <c r="D356" s="10"/>
      <c r="E356" s="10"/>
      <c r="F356" s="12"/>
      <c r="G356" s="300"/>
      <c r="H356" s="10"/>
      <c r="I356" s="10"/>
      <c r="J356" s="10"/>
      <c r="K356" s="10"/>
      <c r="L356" s="12"/>
      <c r="M356" s="29" t="str">
        <f t="shared" si="1"/>
        <v/>
      </c>
      <c r="N356" s="31" t="str">
        <f>IFERROR(__xludf.DUMMYFUNCTION("IF(Account!$F356&lt;&gt;"""", VALUE(REGEXREPLACE($I356, ""\,"", ""."")), """")"),"")</f>
        <v/>
      </c>
      <c r="O356" s="33" t="str">
        <f>IF(Account!$F356&lt;&gt;"", DATEVALUE(MID($A356,4,3) &amp; LEFT($A356,3) &amp; RIGHT($A356,4)) + TIMEVALUE($B356), "")</f>
        <v/>
      </c>
      <c r="P356" s="34" t="str">
        <f>IF(Account!$F356&lt;&gt;"", DATEVALUE(MID($C356,4,3) &amp; LEFT($C356,3) &amp; RIGHT($C356,4)), "")</f>
        <v/>
      </c>
      <c r="Q356" s="35" t="str">
        <f t="array" ref="Q356">IF($R356&lt;&gt;"",IFERROR(INDEX(Investment!$A:$A,MATCH($R356,Investment!$H:$H,0))),)</f>
        <v/>
      </c>
      <c r="R356" s="36" t="str">
        <f t="array" ref="R356">IF(AND($Y356="change",$H356="EUR"),IF(AND($AA356="Crédit",$O356=$O357),$R357,IF(AND($AA356="Débit",$O356=$O355),$R355)),IF(OR(AND(OR($E356&lt;&gt;"",$M356=""),$N356&lt;&gt;0),$A356=""),IFERROR(INDEX(Investment!$H:$H,MATCH($E356,Investment!$F:$F,0))),IFERROR(INDEX($R357:$R1119,MATCH(SUBSTITUTE($I356,"-","",1),$K357:$K1119,0)),INDEX($R357:$R1119,MATCH($K356,$K357:$K1119,0)))))</f>
        <v/>
      </c>
      <c r="S356" s="35" t="str">
        <f t="shared" si="2"/>
        <v/>
      </c>
      <c r="T356" s="37" t="str">
        <f t="shared" si="3"/>
        <v/>
      </c>
      <c r="U356" s="38" t="str">
        <f t="shared" si="4"/>
        <v/>
      </c>
      <c r="V356" s="31" t="str">
        <f t="shared" si="5"/>
        <v/>
      </c>
      <c r="W356" s="39" t="str">
        <f>IFERROR(__xludf.DUMMYFUNCTION(" IF(Account!$F356&lt;&gt;"""", SPLIT(Account!$F356, "" ""), """")"),"")</f>
        <v/>
      </c>
      <c r="X356" s="40"/>
      <c r="Y356" s="40"/>
      <c r="Z356" s="40"/>
      <c r="AA356" s="40"/>
      <c r="AB356" s="40"/>
      <c r="AC356" s="40"/>
      <c r="AD356" s="40"/>
      <c r="AE356" s="40"/>
      <c r="AF356" s="40"/>
      <c r="AG356" s="40"/>
      <c r="AH356" s="40"/>
      <c r="AI356" s="40"/>
      <c r="AJ356" s="40"/>
      <c r="AK356" s="40"/>
    </row>
    <row r="357">
      <c r="A357" s="10"/>
      <c r="B357" s="10"/>
      <c r="C357" s="10"/>
      <c r="D357" s="10"/>
      <c r="E357" s="10"/>
      <c r="F357" s="12"/>
      <c r="G357" s="10"/>
      <c r="H357" s="10"/>
      <c r="I357" s="10"/>
      <c r="J357" s="10"/>
      <c r="K357" s="10"/>
      <c r="L357" s="12"/>
      <c r="M357" s="29" t="str">
        <f t="shared" si="1"/>
        <v/>
      </c>
      <c r="N357" s="31" t="str">
        <f>IFERROR(__xludf.DUMMYFUNCTION("IF(Account!$F357&lt;&gt;"""", VALUE(REGEXREPLACE($I357, ""\,"", ""."")), """")"),"")</f>
        <v/>
      </c>
      <c r="O357" s="33" t="str">
        <f>IF(Account!$F357&lt;&gt;"", DATEVALUE(MID($A357,4,3) &amp; LEFT($A357,3) &amp; RIGHT($A357,4)) + TIMEVALUE($B357), "")</f>
        <v/>
      </c>
      <c r="P357" s="34" t="str">
        <f>IF(Account!$F357&lt;&gt;"", DATEVALUE(MID($C357,4,3) &amp; LEFT($C357,3) &amp; RIGHT($C357,4)), "")</f>
        <v/>
      </c>
      <c r="Q357" s="35" t="str">
        <f t="array" ref="Q357">IF($R357&lt;&gt;"",IFERROR(INDEX(Investment!$A:$A,MATCH($R357,Investment!$H:$H,0))),)</f>
        <v/>
      </c>
      <c r="R357" s="36" t="str">
        <f t="array" ref="R357">IF(AND($Y357="change",$H357="EUR"),IF(AND($AA357="Crédit",$O357=$O358),$R358,IF(AND($AA357="Débit",$O357=$O356),$R356)),IF(OR(AND(OR($E357&lt;&gt;"",$M357=""),$N357&lt;&gt;0),$A357=""),IFERROR(INDEX(Investment!$H:$H,MATCH($E357,Investment!$F:$F,0))),IFERROR(INDEX($R358:$R1119,MATCH(SUBSTITUTE($I357,"-","",1),$K358:$K1119,0)),INDEX($R358:$R1119,MATCH($K357,$K358:$K1119,0)))))</f>
        <v/>
      </c>
      <c r="S357" s="35" t="str">
        <f t="shared" si="2"/>
        <v/>
      </c>
      <c r="T357" s="37" t="str">
        <f t="shared" si="3"/>
        <v/>
      </c>
      <c r="U357" s="38" t="str">
        <f t="shared" si="4"/>
        <v/>
      </c>
      <c r="V357" s="31" t="str">
        <f t="shared" si="5"/>
        <v/>
      </c>
      <c r="W357" s="39" t="str">
        <f>IFERROR(__xludf.DUMMYFUNCTION(" IF(Account!$F357&lt;&gt;"""", SPLIT(Account!$F357, "" ""), """")"),"")</f>
        <v/>
      </c>
      <c r="X357" s="40"/>
      <c r="Y357" s="40"/>
      <c r="Z357" s="40"/>
      <c r="AA357" s="40"/>
      <c r="AB357" s="40"/>
      <c r="AC357" s="40"/>
      <c r="AD357" s="40"/>
      <c r="AE357" s="40"/>
      <c r="AF357" s="40"/>
      <c r="AG357" s="40"/>
      <c r="AH357" s="40"/>
      <c r="AI357" s="40"/>
      <c r="AJ357" s="40"/>
      <c r="AK357" s="40"/>
    </row>
    <row r="358">
      <c r="A358" s="10"/>
      <c r="B358" s="10"/>
      <c r="C358" s="10"/>
      <c r="D358" s="10"/>
      <c r="E358" s="10"/>
      <c r="F358" s="12"/>
      <c r="G358" s="10"/>
      <c r="H358" s="10"/>
      <c r="I358" s="10"/>
      <c r="J358" s="10"/>
      <c r="K358" s="10"/>
      <c r="L358" s="12"/>
      <c r="M358" s="29" t="str">
        <f t="shared" si="1"/>
        <v/>
      </c>
      <c r="N358" s="31" t="str">
        <f>IFERROR(__xludf.DUMMYFUNCTION("IF(Account!$F358&lt;&gt;"""", VALUE(REGEXREPLACE($I358, ""\,"", ""."")), """")"),"")</f>
        <v/>
      </c>
      <c r="O358" s="33" t="str">
        <f>IF(Account!$F358&lt;&gt;"", DATEVALUE(MID($A358,4,3) &amp; LEFT($A358,3) &amp; RIGHT($A358,4)) + TIMEVALUE($B358), "")</f>
        <v/>
      </c>
      <c r="P358" s="34" t="str">
        <f>IF(Account!$F358&lt;&gt;"", DATEVALUE(MID($C358,4,3) &amp; LEFT($C358,3) &amp; RIGHT($C358,4)), "")</f>
        <v/>
      </c>
      <c r="Q358" s="35" t="str">
        <f t="array" ref="Q358">IF($R358&lt;&gt;"",IFERROR(INDEX(Investment!$A:$A,MATCH($R358,Investment!$H:$H,0))),)</f>
        <v/>
      </c>
      <c r="R358" s="36" t="str">
        <f t="array" ref="R358">IF(AND($Y358="change",$H358="EUR"),IF(AND($AA358="Crédit",$O358=$O359),$R359,IF(AND($AA358="Débit",$O358=$O357),$R357)),IF(OR(AND(OR($E358&lt;&gt;"",$M358=""),$N358&lt;&gt;0),$A358=""),IFERROR(INDEX(Investment!$H:$H,MATCH($E358,Investment!$F:$F,0))),IFERROR(INDEX($R359:$R1119,MATCH(SUBSTITUTE($I358,"-","",1),$K359:$K1119,0)),INDEX($R359:$R1119,MATCH($K358,$K359:$K1119,0)))))</f>
        <v/>
      </c>
      <c r="S358" s="35" t="str">
        <f t="shared" si="2"/>
        <v/>
      </c>
      <c r="T358" s="37" t="str">
        <f t="shared" si="3"/>
        <v/>
      </c>
      <c r="U358" s="38" t="str">
        <f t="shared" si="4"/>
        <v/>
      </c>
      <c r="V358" s="31" t="str">
        <f t="shared" si="5"/>
        <v/>
      </c>
      <c r="W358" s="39" t="str">
        <f>IFERROR(__xludf.DUMMYFUNCTION(" IF(Account!$F358&lt;&gt;"""", SPLIT(Account!$F358, "" ""), """")"),"")</f>
        <v/>
      </c>
      <c r="X358" s="40"/>
      <c r="Y358" s="40"/>
      <c r="Z358" s="40"/>
      <c r="AA358" s="40"/>
      <c r="AB358" s="40"/>
      <c r="AC358" s="40"/>
      <c r="AD358" s="40"/>
      <c r="AE358" s="40"/>
      <c r="AF358" s="40"/>
      <c r="AG358" s="40"/>
      <c r="AH358" s="40"/>
      <c r="AI358" s="40"/>
      <c r="AJ358" s="40"/>
      <c r="AK358" s="40"/>
    </row>
    <row r="359">
      <c r="A359" s="10"/>
      <c r="B359" s="10"/>
      <c r="C359" s="10"/>
      <c r="D359" s="10"/>
      <c r="E359" s="10"/>
      <c r="F359" s="12"/>
      <c r="G359" s="300"/>
      <c r="H359" s="10"/>
      <c r="I359" s="10"/>
      <c r="J359" s="10"/>
      <c r="K359" s="10"/>
      <c r="L359" s="12"/>
      <c r="M359" s="29" t="str">
        <f t="shared" si="1"/>
        <v/>
      </c>
      <c r="N359" s="31" t="str">
        <f>IFERROR(__xludf.DUMMYFUNCTION("IF(Account!$F359&lt;&gt;"""", VALUE(REGEXREPLACE($I359, ""\,"", ""."")), """")"),"")</f>
        <v/>
      </c>
      <c r="O359" s="33" t="str">
        <f>IF(Account!$F359&lt;&gt;"", DATEVALUE(MID($A359,4,3) &amp; LEFT($A359,3) &amp; RIGHT($A359,4)) + TIMEVALUE($B359), "")</f>
        <v/>
      </c>
      <c r="P359" s="34" t="str">
        <f>IF(Account!$F359&lt;&gt;"", DATEVALUE(MID($C359,4,3) &amp; LEFT($C359,3) &amp; RIGHT($C359,4)), "")</f>
        <v/>
      </c>
      <c r="Q359" s="35" t="str">
        <f t="array" ref="Q359">IF($R359&lt;&gt;"",IFERROR(INDEX(Investment!$A:$A,MATCH($R359,Investment!$H:$H,0))),)</f>
        <v/>
      </c>
      <c r="R359" s="36" t="str">
        <f t="array" ref="R359">IF(AND($Y359="change",$H359="EUR"),IF(AND($AA359="Crédit",$O359=$O360),$R360,IF(AND($AA359="Débit",$O359=$O358),$R358)),IF(OR(AND(OR($E359&lt;&gt;"",$M359=""),$N359&lt;&gt;0),$A359=""),IFERROR(INDEX(Investment!$H:$H,MATCH($E359,Investment!$F:$F,0))),IFERROR(INDEX($R360:$R1119,MATCH(SUBSTITUTE($I359,"-","",1),$K360:$K1119,0)),INDEX($R360:$R1119,MATCH($K359,$K360:$K1119,0)))))</f>
        <v/>
      </c>
      <c r="S359" s="35" t="str">
        <f t="shared" si="2"/>
        <v/>
      </c>
      <c r="T359" s="37" t="str">
        <f t="shared" si="3"/>
        <v/>
      </c>
      <c r="U359" s="38" t="str">
        <f t="shared" si="4"/>
        <v/>
      </c>
      <c r="V359" s="31" t="str">
        <f t="shared" si="5"/>
        <v/>
      </c>
      <c r="W359" s="39" t="str">
        <f>IFERROR(__xludf.DUMMYFUNCTION(" IF(Account!$F359&lt;&gt;"""", SPLIT(Account!$F359, "" ""), """")"),"")</f>
        <v/>
      </c>
      <c r="X359" s="40"/>
      <c r="Y359" s="40"/>
      <c r="Z359" s="40"/>
      <c r="AA359" s="40"/>
      <c r="AB359" s="40"/>
      <c r="AC359" s="40"/>
      <c r="AD359" s="40"/>
      <c r="AE359" s="40"/>
      <c r="AF359" s="40"/>
      <c r="AG359" s="40"/>
      <c r="AH359" s="40"/>
      <c r="AI359" s="40"/>
      <c r="AJ359" s="40"/>
      <c r="AK359" s="40"/>
    </row>
    <row r="360">
      <c r="A360" s="10"/>
      <c r="B360" s="10"/>
      <c r="C360" s="10"/>
      <c r="D360" s="10"/>
      <c r="E360" s="10"/>
      <c r="F360" s="12"/>
      <c r="G360" s="10"/>
      <c r="H360" s="10"/>
      <c r="I360" s="10"/>
      <c r="J360" s="10"/>
      <c r="K360" s="10"/>
      <c r="L360" s="12"/>
      <c r="M360" s="29" t="str">
        <f t="shared" si="1"/>
        <v/>
      </c>
      <c r="N360" s="31" t="str">
        <f>IFERROR(__xludf.DUMMYFUNCTION("IF(Account!$F360&lt;&gt;"""", VALUE(REGEXREPLACE($I360, ""\,"", ""."")), """")"),"")</f>
        <v/>
      </c>
      <c r="O360" s="33" t="str">
        <f>IF(Account!$F360&lt;&gt;"", DATEVALUE(MID($A360,4,3) &amp; LEFT($A360,3) &amp; RIGHT($A360,4)) + TIMEVALUE($B360), "")</f>
        <v/>
      </c>
      <c r="P360" s="34" t="str">
        <f>IF(Account!$F360&lt;&gt;"", DATEVALUE(MID($C360,4,3) &amp; LEFT($C360,3) &amp; RIGHT($C360,4)), "")</f>
        <v/>
      </c>
      <c r="Q360" s="35" t="str">
        <f t="array" ref="Q360">IF($R360&lt;&gt;"",IFERROR(INDEX(Investment!$A:$A,MATCH($R360,Investment!$H:$H,0))),)</f>
        <v/>
      </c>
      <c r="R360" s="36" t="str">
        <f t="array" ref="R360">IF(AND($Y360="change",$H360="EUR"),IF(AND($AA360="Crédit",$O360=$O361),$R361,IF(AND($AA360="Débit",$O360=$O359),$R359)),IF(OR(AND(OR($E360&lt;&gt;"",$M360=""),$N360&lt;&gt;0),$A360=""),IFERROR(INDEX(Investment!$H:$H,MATCH($E360,Investment!$F:$F,0))),IFERROR(INDEX($R361:$R1119,MATCH(SUBSTITUTE($I360,"-","",1),$K361:$K1119,0)),INDEX($R361:$R1119,MATCH($K360,$K361:$K1119,0)))))</f>
        <v/>
      </c>
      <c r="S360" s="35" t="str">
        <f t="shared" si="2"/>
        <v/>
      </c>
      <c r="T360" s="37" t="str">
        <f t="shared" si="3"/>
        <v/>
      </c>
      <c r="U360" s="38" t="str">
        <f t="shared" si="4"/>
        <v/>
      </c>
      <c r="V360" s="31" t="str">
        <f t="shared" si="5"/>
        <v/>
      </c>
      <c r="W360" s="39" t="str">
        <f>IFERROR(__xludf.DUMMYFUNCTION(" IF(Account!$F360&lt;&gt;"""", SPLIT(Account!$F360, "" ""), """")"),"")</f>
        <v/>
      </c>
      <c r="X360" s="40"/>
      <c r="Y360" s="40"/>
      <c r="Z360" s="40"/>
      <c r="AA360" s="40"/>
      <c r="AB360" s="40"/>
      <c r="AC360" s="40"/>
      <c r="AD360" s="40"/>
      <c r="AE360" s="40"/>
      <c r="AF360" s="40"/>
      <c r="AG360" s="40"/>
      <c r="AH360" s="40"/>
      <c r="AI360" s="40"/>
      <c r="AJ360" s="40"/>
      <c r="AK360" s="40"/>
    </row>
    <row r="361">
      <c r="A361" s="10"/>
      <c r="B361" s="10"/>
      <c r="C361" s="10"/>
      <c r="D361" s="10"/>
      <c r="E361" s="10"/>
      <c r="F361" s="12"/>
      <c r="G361" s="300"/>
      <c r="H361" s="10"/>
      <c r="I361" s="10"/>
      <c r="J361" s="10"/>
      <c r="K361" s="10"/>
      <c r="L361" s="12"/>
      <c r="M361" s="29" t="str">
        <f t="shared" si="1"/>
        <v/>
      </c>
      <c r="N361" s="31" t="str">
        <f>IFERROR(__xludf.DUMMYFUNCTION("IF(Account!$F361&lt;&gt;"""", VALUE(REGEXREPLACE($I361, ""\,"", ""."")), """")"),"")</f>
        <v/>
      </c>
      <c r="O361" s="33" t="str">
        <f>IF(Account!$F361&lt;&gt;"", DATEVALUE(MID($A361,4,3) &amp; LEFT($A361,3) &amp; RIGHT($A361,4)) + TIMEVALUE($B361), "")</f>
        <v/>
      </c>
      <c r="P361" s="34" t="str">
        <f>IF(Account!$F361&lt;&gt;"", DATEVALUE(MID($C361,4,3) &amp; LEFT($C361,3) &amp; RIGHT($C361,4)), "")</f>
        <v/>
      </c>
      <c r="Q361" s="35" t="str">
        <f t="array" ref="Q361">IF($R361&lt;&gt;"",IFERROR(INDEX(Investment!$A:$A,MATCH($R361,Investment!$H:$H,0))),)</f>
        <v/>
      </c>
      <c r="R361" s="36" t="str">
        <f t="array" ref="R361">IF(AND($Y361="change",$H361="EUR"),IF(AND($AA361="Crédit",$O361=$O362),$R362,IF(AND($AA361="Débit",$O361=$O360),$R360)),IF(OR(AND(OR($E361&lt;&gt;"",$M361=""),$N361&lt;&gt;0),$A361=""),IFERROR(INDEX(Investment!$H:$H,MATCH($E361,Investment!$F:$F,0))),IFERROR(INDEX($R362:$R1119,MATCH(SUBSTITUTE($I361,"-","",1),$K362:$K1119,0)),INDEX($R362:$R1119,MATCH($K361,$K362:$K1119,0)))))</f>
        <v/>
      </c>
      <c r="S361" s="35" t="str">
        <f t="shared" si="2"/>
        <v/>
      </c>
      <c r="T361" s="37" t="str">
        <f t="shared" si="3"/>
        <v/>
      </c>
      <c r="U361" s="38" t="str">
        <f t="shared" si="4"/>
        <v/>
      </c>
      <c r="V361" s="31" t="str">
        <f t="shared" si="5"/>
        <v/>
      </c>
      <c r="W361" s="39" t="str">
        <f>IFERROR(__xludf.DUMMYFUNCTION(" IF(Account!$F361&lt;&gt;"""", SPLIT(Account!$F361, "" ""), """")"),"")</f>
        <v/>
      </c>
      <c r="X361" s="40"/>
      <c r="Y361" s="40"/>
      <c r="Z361" s="40"/>
      <c r="AA361" s="40"/>
      <c r="AB361" s="40"/>
      <c r="AC361" s="40"/>
      <c r="AD361" s="40"/>
      <c r="AE361" s="40"/>
      <c r="AF361" s="40"/>
      <c r="AG361" s="40"/>
      <c r="AH361" s="40"/>
      <c r="AI361" s="40"/>
      <c r="AJ361" s="40"/>
      <c r="AK361" s="40"/>
    </row>
    <row r="362">
      <c r="A362" s="10"/>
      <c r="B362" s="10"/>
      <c r="C362" s="10"/>
      <c r="D362" s="10"/>
      <c r="E362" s="10"/>
      <c r="F362" s="12"/>
      <c r="G362" s="300"/>
      <c r="H362" s="10"/>
      <c r="I362" s="10"/>
      <c r="J362" s="10"/>
      <c r="K362" s="10"/>
      <c r="L362" s="12"/>
      <c r="M362" s="29" t="str">
        <f t="shared" si="1"/>
        <v/>
      </c>
      <c r="N362" s="31" t="str">
        <f>IFERROR(__xludf.DUMMYFUNCTION("IF(Account!$F362&lt;&gt;"""", VALUE(REGEXREPLACE($I362, ""\,"", ""."")), """")"),"")</f>
        <v/>
      </c>
      <c r="O362" s="33" t="str">
        <f>IF(Account!$F362&lt;&gt;"", DATEVALUE(MID($A362,4,3) &amp; LEFT($A362,3) &amp; RIGHT($A362,4)) + TIMEVALUE($B362), "")</f>
        <v/>
      </c>
      <c r="P362" s="34" t="str">
        <f>IF(Account!$F362&lt;&gt;"", DATEVALUE(MID($C362,4,3) &amp; LEFT($C362,3) &amp; RIGHT($C362,4)), "")</f>
        <v/>
      </c>
      <c r="Q362" s="35" t="str">
        <f t="array" ref="Q362">IF($R362&lt;&gt;"",IFERROR(INDEX(Investment!$A:$A,MATCH($R362,Investment!$H:$H,0))),)</f>
        <v/>
      </c>
      <c r="R362" s="36" t="str">
        <f t="array" ref="R362">IF(AND($Y362="change",$H362="EUR"),IF(AND($AA362="Crédit",$O362=$O363),$R363,IF(AND($AA362="Débit",$O362=$O361),$R361)),IF(OR(AND(OR($E362&lt;&gt;"",$M362=""),$N362&lt;&gt;0),$A362=""),IFERROR(INDEX(Investment!$H:$H,MATCH($E362,Investment!$F:$F,0))),IFERROR(INDEX($R363:$R1119,MATCH(SUBSTITUTE($I362,"-","",1),$K363:$K1119,0)),INDEX($R363:$R1119,MATCH($K362,$K363:$K1119,0)))))</f>
        <v/>
      </c>
      <c r="S362" s="35" t="str">
        <f t="shared" si="2"/>
        <v/>
      </c>
      <c r="T362" s="37" t="str">
        <f t="shared" si="3"/>
        <v/>
      </c>
      <c r="U362" s="38" t="str">
        <f t="shared" si="4"/>
        <v/>
      </c>
      <c r="V362" s="31" t="str">
        <f t="shared" si="5"/>
        <v/>
      </c>
      <c r="W362" s="39" t="str">
        <f>IFERROR(__xludf.DUMMYFUNCTION(" IF(Account!$F362&lt;&gt;"""", SPLIT(Account!$F362, "" ""), """")"),"")</f>
        <v/>
      </c>
      <c r="X362" s="40"/>
      <c r="Y362" s="40"/>
      <c r="Z362" s="40"/>
      <c r="AA362" s="40"/>
      <c r="AB362" s="40"/>
      <c r="AC362" s="40"/>
      <c r="AD362" s="40"/>
      <c r="AE362" s="40"/>
      <c r="AF362" s="40"/>
      <c r="AG362" s="40"/>
      <c r="AH362" s="40"/>
      <c r="AI362" s="40"/>
      <c r="AJ362" s="40"/>
      <c r="AK362" s="40"/>
    </row>
    <row r="363">
      <c r="A363" s="10"/>
      <c r="B363" s="10"/>
      <c r="C363" s="10"/>
      <c r="D363" s="10"/>
      <c r="E363" s="10"/>
      <c r="F363" s="12"/>
      <c r="G363" s="300"/>
      <c r="H363" s="10"/>
      <c r="I363" s="10"/>
      <c r="J363" s="10"/>
      <c r="K363" s="10"/>
      <c r="L363" s="12"/>
      <c r="M363" s="29" t="str">
        <f t="shared" si="1"/>
        <v/>
      </c>
      <c r="N363" s="31" t="str">
        <f>IFERROR(__xludf.DUMMYFUNCTION("IF(Account!$F363&lt;&gt;"""", VALUE(REGEXREPLACE($I363, ""\,"", ""."")), """")"),"")</f>
        <v/>
      </c>
      <c r="O363" s="33" t="str">
        <f>IF(Account!$F363&lt;&gt;"", DATEVALUE(MID($A363,4,3) &amp; LEFT($A363,3) &amp; RIGHT($A363,4)) + TIMEVALUE($B363), "")</f>
        <v/>
      </c>
      <c r="P363" s="34" t="str">
        <f>IF(Account!$F363&lt;&gt;"", DATEVALUE(MID($C363,4,3) &amp; LEFT($C363,3) &amp; RIGHT($C363,4)), "")</f>
        <v/>
      </c>
      <c r="Q363" s="35" t="str">
        <f t="array" ref="Q363">IF($R363&lt;&gt;"",IFERROR(INDEX(Investment!$A:$A,MATCH($R363,Investment!$H:$H,0))),)</f>
        <v/>
      </c>
      <c r="R363" s="36" t="str">
        <f t="array" ref="R363">IF(AND($Y363="change",$H363="EUR"),IF(AND($AA363="Crédit",$O363=$O364),$R364,IF(AND($AA363="Débit",$O363=$O362),$R362)),IF(OR(AND(OR($E363&lt;&gt;"",$M363=""),$N363&lt;&gt;0),$A363=""),IFERROR(INDEX(Investment!$H:$H,MATCH($E363,Investment!$F:$F,0))),IFERROR(INDEX($R364:$R1119,MATCH(SUBSTITUTE($I363,"-","",1),$K364:$K1119,0)),INDEX($R364:$R1119,MATCH($K363,$K364:$K1119,0)))))</f>
        <v/>
      </c>
      <c r="S363" s="35" t="str">
        <f t="shared" si="2"/>
        <v/>
      </c>
      <c r="T363" s="37" t="str">
        <f t="shared" si="3"/>
        <v/>
      </c>
      <c r="U363" s="38" t="str">
        <f t="shared" si="4"/>
        <v/>
      </c>
      <c r="V363" s="31" t="str">
        <f t="shared" si="5"/>
        <v/>
      </c>
      <c r="W363" s="39" t="str">
        <f>IFERROR(__xludf.DUMMYFUNCTION(" IF(Account!$F363&lt;&gt;"""", SPLIT(Account!$F363, "" ""), """")"),"")</f>
        <v/>
      </c>
      <c r="X363" s="40"/>
      <c r="Y363" s="40"/>
      <c r="Z363" s="40"/>
      <c r="AA363" s="40"/>
      <c r="AB363" s="40"/>
      <c r="AC363" s="40"/>
      <c r="AD363" s="40"/>
      <c r="AE363" s="40"/>
      <c r="AF363" s="40"/>
      <c r="AG363" s="40"/>
      <c r="AH363" s="40"/>
      <c r="AI363" s="40"/>
      <c r="AJ363" s="40"/>
      <c r="AK363" s="40"/>
    </row>
    <row r="364">
      <c r="A364" s="10"/>
      <c r="B364" s="10"/>
      <c r="C364" s="10"/>
      <c r="D364" s="10"/>
      <c r="E364" s="10"/>
      <c r="F364" s="12"/>
      <c r="G364" s="300"/>
      <c r="H364" s="10"/>
      <c r="I364" s="10"/>
      <c r="J364" s="10"/>
      <c r="K364" s="10"/>
      <c r="L364" s="12"/>
      <c r="M364" s="29" t="str">
        <f t="shared" si="1"/>
        <v/>
      </c>
      <c r="N364" s="31" t="str">
        <f>IFERROR(__xludf.DUMMYFUNCTION("IF(Account!$F364&lt;&gt;"""", VALUE(REGEXREPLACE($I364, ""\,"", ""."")), """")"),"")</f>
        <v/>
      </c>
      <c r="O364" s="33" t="str">
        <f>IF(Account!$F364&lt;&gt;"", DATEVALUE(MID($A364,4,3) &amp; LEFT($A364,3) &amp; RIGHT($A364,4)) + TIMEVALUE($B364), "")</f>
        <v/>
      </c>
      <c r="P364" s="34" t="str">
        <f>IF(Account!$F364&lt;&gt;"", DATEVALUE(MID($C364,4,3) &amp; LEFT($C364,3) &amp; RIGHT($C364,4)), "")</f>
        <v/>
      </c>
      <c r="Q364" s="35" t="str">
        <f t="array" ref="Q364">IF($R364&lt;&gt;"",IFERROR(INDEX(Investment!$A:$A,MATCH($R364,Investment!$H:$H,0))),)</f>
        <v/>
      </c>
      <c r="R364" s="36" t="str">
        <f t="array" ref="R364">IF(AND($Y364="change",$H364="EUR"),IF(AND($AA364="Crédit",$O364=$O365),$R365,IF(AND($AA364="Débit",$O364=$O363),$R363)),IF(OR(AND(OR($E364&lt;&gt;"",$M364=""),$N364&lt;&gt;0),$A364=""),IFERROR(INDEX(Investment!$H:$H,MATCH($E364,Investment!$F:$F,0))),IFERROR(INDEX($R365:$R1119,MATCH(SUBSTITUTE($I364,"-","",1),$K365:$K1119,0)),INDEX($R365:$R1119,MATCH($K364,$K365:$K1119,0)))))</f>
        <v/>
      </c>
      <c r="S364" s="35" t="str">
        <f t="shared" si="2"/>
        <v/>
      </c>
      <c r="T364" s="37" t="str">
        <f t="shared" si="3"/>
        <v/>
      </c>
      <c r="U364" s="38" t="str">
        <f t="shared" si="4"/>
        <v/>
      </c>
      <c r="V364" s="31" t="str">
        <f t="shared" si="5"/>
        <v/>
      </c>
      <c r="W364" s="39" t="str">
        <f>IFERROR(__xludf.DUMMYFUNCTION(" IF(Account!$F364&lt;&gt;"""", SPLIT(Account!$F364, "" ""), """")"),"")</f>
        <v/>
      </c>
      <c r="X364" s="40"/>
      <c r="Y364" s="40"/>
      <c r="Z364" s="40"/>
      <c r="AA364" s="40"/>
      <c r="AB364" s="40"/>
      <c r="AC364" s="40"/>
      <c r="AD364" s="40"/>
      <c r="AE364" s="40"/>
      <c r="AF364" s="40"/>
      <c r="AG364" s="40"/>
      <c r="AH364" s="40"/>
      <c r="AI364" s="40"/>
      <c r="AJ364" s="40"/>
      <c r="AK364" s="40"/>
    </row>
    <row r="365">
      <c r="A365" s="10"/>
      <c r="B365" s="10"/>
      <c r="C365" s="10"/>
      <c r="D365" s="10"/>
      <c r="E365" s="10"/>
      <c r="F365" s="12"/>
      <c r="G365" s="300"/>
      <c r="H365" s="10"/>
      <c r="I365" s="10"/>
      <c r="J365" s="10"/>
      <c r="K365" s="10"/>
      <c r="L365" s="12"/>
      <c r="M365" s="29" t="str">
        <f t="shared" si="1"/>
        <v/>
      </c>
      <c r="N365" s="31" t="str">
        <f>IFERROR(__xludf.DUMMYFUNCTION("IF(Account!$F365&lt;&gt;"""", VALUE(REGEXREPLACE($I365, ""\,"", ""."")), """")"),"")</f>
        <v/>
      </c>
      <c r="O365" s="33" t="str">
        <f>IF(Account!$F365&lt;&gt;"", DATEVALUE(MID($A365,4,3) &amp; LEFT($A365,3) &amp; RIGHT($A365,4)) + TIMEVALUE($B365), "")</f>
        <v/>
      </c>
      <c r="P365" s="34" t="str">
        <f>IF(Account!$F365&lt;&gt;"", DATEVALUE(MID($C365,4,3) &amp; LEFT($C365,3) &amp; RIGHT($C365,4)), "")</f>
        <v/>
      </c>
      <c r="Q365" s="35" t="str">
        <f t="array" ref="Q365">IF($R365&lt;&gt;"",IFERROR(INDEX(Investment!$A:$A,MATCH($R365,Investment!$H:$H,0))),)</f>
        <v/>
      </c>
      <c r="R365" s="36" t="str">
        <f t="array" ref="R365">IF(AND($Y365="change",$H365="EUR"),IF(AND($AA365="Crédit",$O365=$O366),$R366,IF(AND($AA365="Débit",$O365=$O364),$R364)),IF(OR(AND(OR($E365&lt;&gt;"",$M365=""),$N365&lt;&gt;0),$A365=""),IFERROR(INDEX(Investment!$H:$H,MATCH($E365,Investment!$F:$F,0))),IFERROR(INDEX($R366:$R1119,MATCH(SUBSTITUTE($I365,"-","",1),$K366:$K1119,0)),INDEX($R366:$R1119,MATCH($K365,$K366:$K1119,0)))))</f>
        <v/>
      </c>
      <c r="S365" s="35" t="str">
        <f t="shared" si="2"/>
        <v/>
      </c>
      <c r="T365" s="37" t="str">
        <f t="shared" si="3"/>
        <v/>
      </c>
      <c r="U365" s="38" t="str">
        <f t="shared" si="4"/>
        <v/>
      </c>
      <c r="V365" s="31" t="str">
        <f t="shared" si="5"/>
        <v/>
      </c>
      <c r="W365" s="39" t="str">
        <f>IFERROR(__xludf.DUMMYFUNCTION(" IF(Account!$F365&lt;&gt;"""", SPLIT(Account!$F365, "" ""), """")"),"")</f>
        <v/>
      </c>
      <c r="X365" s="40"/>
      <c r="Y365" s="40"/>
      <c r="Z365" s="40"/>
      <c r="AA365" s="40"/>
      <c r="AB365" s="40"/>
      <c r="AC365" s="40"/>
      <c r="AD365" s="40"/>
      <c r="AE365" s="40"/>
      <c r="AF365" s="40"/>
      <c r="AG365" s="40"/>
      <c r="AH365" s="40"/>
      <c r="AI365" s="40"/>
      <c r="AJ365" s="40"/>
      <c r="AK365" s="40"/>
    </row>
    <row r="366">
      <c r="A366" s="10"/>
      <c r="B366" s="10"/>
      <c r="C366" s="10"/>
      <c r="D366" s="10"/>
      <c r="E366" s="10"/>
      <c r="F366" s="12"/>
      <c r="G366" s="300"/>
      <c r="H366" s="10"/>
      <c r="I366" s="10"/>
      <c r="J366" s="10"/>
      <c r="K366" s="10"/>
      <c r="L366" s="12"/>
      <c r="M366" s="29" t="str">
        <f t="shared" si="1"/>
        <v/>
      </c>
      <c r="N366" s="31" t="str">
        <f>IFERROR(__xludf.DUMMYFUNCTION("IF(Account!$F366&lt;&gt;"""", VALUE(REGEXREPLACE($I366, ""\,"", ""."")), """")"),"")</f>
        <v/>
      </c>
      <c r="O366" s="33" t="str">
        <f>IF(Account!$F366&lt;&gt;"", DATEVALUE(MID($A366,4,3) &amp; LEFT($A366,3) &amp; RIGHT($A366,4)) + TIMEVALUE($B366), "")</f>
        <v/>
      </c>
      <c r="P366" s="34" t="str">
        <f>IF(Account!$F366&lt;&gt;"", DATEVALUE(MID($C366,4,3) &amp; LEFT($C366,3) &amp; RIGHT($C366,4)), "")</f>
        <v/>
      </c>
      <c r="Q366" s="35" t="str">
        <f t="array" ref="Q366">IF($R366&lt;&gt;"",IFERROR(INDEX(Investment!$A:$A,MATCH($R366,Investment!$H:$H,0))),)</f>
        <v/>
      </c>
      <c r="R366" s="36" t="str">
        <f t="array" ref="R366">IF(AND($Y366="change",$H366="EUR"),IF(AND($AA366="Crédit",$O366=$O367),$R367,IF(AND($AA366="Débit",$O366=$O365),$R365)),IF(OR(AND(OR($E366&lt;&gt;"",$M366=""),$N366&lt;&gt;0),$A366=""),IFERROR(INDEX(Investment!$H:$H,MATCH($E366,Investment!$F:$F,0))),IFERROR(INDEX($R367:$R1119,MATCH(SUBSTITUTE($I366,"-","",1),$K367:$K1119,0)),INDEX($R367:$R1119,MATCH($K366,$K367:$K1119,0)))))</f>
        <v/>
      </c>
      <c r="S366" s="35" t="str">
        <f t="shared" si="2"/>
        <v/>
      </c>
      <c r="T366" s="37" t="str">
        <f t="shared" si="3"/>
        <v/>
      </c>
      <c r="U366" s="38" t="str">
        <f t="shared" si="4"/>
        <v/>
      </c>
      <c r="V366" s="31" t="str">
        <f t="shared" si="5"/>
        <v/>
      </c>
      <c r="W366" s="39" t="str">
        <f>IFERROR(__xludf.DUMMYFUNCTION(" IF(Account!$F366&lt;&gt;"""", SPLIT(Account!$F366, "" ""), """")"),"")</f>
        <v/>
      </c>
      <c r="X366" s="40"/>
      <c r="Y366" s="40"/>
      <c r="Z366" s="40"/>
      <c r="AA366" s="40"/>
      <c r="AB366" s="40"/>
      <c r="AC366" s="40"/>
      <c r="AD366" s="40"/>
      <c r="AE366" s="40"/>
      <c r="AF366" s="40"/>
      <c r="AG366" s="40"/>
      <c r="AH366" s="40"/>
      <c r="AI366" s="40"/>
      <c r="AJ366" s="40"/>
      <c r="AK366" s="40"/>
    </row>
    <row r="367">
      <c r="A367" s="10"/>
      <c r="B367" s="10"/>
      <c r="C367" s="10"/>
      <c r="D367" s="10"/>
      <c r="E367" s="10"/>
      <c r="F367" s="12"/>
      <c r="G367" s="300"/>
      <c r="H367" s="10"/>
      <c r="I367" s="10"/>
      <c r="J367" s="10"/>
      <c r="K367" s="10"/>
      <c r="L367" s="12"/>
      <c r="M367" s="29" t="str">
        <f t="shared" si="1"/>
        <v/>
      </c>
      <c r="N367" s="31" t="str">
        <f>IFERROR(__xludf.DUMMYFUNCTION("IF(Account!$F367&lt;&gt;"""", VALUE(REGEXREPLACE($I367, ""\,"", ""."")), """")"),"")</f>
        <v/>
      </c>
      <c r="O367" s="33" t="str">
        <f>IF(Account!$F367&lt;&gt;"", DATEVALUE(MID($A367,4,3) &amp; LEFT($A367,3) &amp; RIGHT($A367,4)) + TIMEVALUE($B367), "")</f>
        <v/>
      </c>
      <c r="P367" s="34" t="str">
        <f>IF(Account!$F367&lt;&gt;"", DATEVALUE(MID($C367,4,3) &amp; LEFT($C367,3) &amp; RIGHT($C367,4)), "")</f>
        <v/>
      </c>
      <c r="Q367" s="35" t="str">
        <f t="array" ref="Q367">IF($R367&lt;&gt;"",IFERROR(INDEX(Investment!$A:$A,MATCH($R367,Investment!$H:$H,0))),)</f>
        <v/>
      </c>
      <c r="R367" s="36" t="str">
        <f t="array" ref="R367">IF(AND($Y367="change",$H367="EUR"),IF(AND($AA367="Crédit",$O367=$O368),$R368,IF(AND($AA367="Débit",$O367=$O366),$R366)),IF(OR(AND(OR($E367&lt;&gt;"",$M367=""),$N367&lt;&gt;0),$A367=""),IFERROR(INDEX(Investment!$H:$H,MATCH($E367,Investment!$F:$F,0))),IFERROR(INDEX($R368:$R1119,MATCH(SUBSTITUTE($I367,"-","",1),$K368:$K1119,0)),INDEX($R368:$R1119,MATCH($K367,$K368:$K1119,0)))))</f>
        <v/>
      </c>
      <c r="S367" s="35" t="str">
        <f t="shared" si="2"/>
        <v/>
      </c>
      <c r="T367" s="37" t="str">
        <f t="shared" si="3"/>
        <v/>
      </c>
      <c r="U367" s="38" t="str">
        <f t="shared" si="4"/>
        <v/>
      </c>
      <c r="V367" s="31" t="str">
        <f t="shared" si="5"/>
        <v/>
      </c>
      <c r="W367" s="39" t="str">
        <f>IFERROR(__xludf.DUMMYFUNCTION(" IF(Account!$F367&lt;&gt;"""", SPLIT(Account!$F367, "" ""), """")"),"")</f>
        <v/>
      </c>
      <c r="X367" s="40"/>
      <c r="Y367" s="40"/>
      <c r="Z367" s="40"/>
      <c r="AA367" s="40"/>
      <c r="AB367" s="40"/>
      <c r="AC367" s="40"/>
      <c r="AD367" s="40"/>
      <c r="AE367" s="40"/>
      <c r="AF367" s="40"/>
      <c r="AG367" s="40"/>
      <c r="AH367" s="40"/>
      <c r="AI367" s="40"/>
      <c r="AJ367" s="40"/>
      <c r="AK367" s="40"/>
    </row>
    <row r="368">
      <c r="A368" s="10"/>
      <c r="B368" s="10"/>
      <c r="C368" s="10"/>
      <c r="D368" s="10"/>
      <c r="E368" s="10"/>
      <c r="F368" s="12"/>
      <c r="G368" s="10"/>
      <c r="H368" s="10"/>
      <c r="I368" s="10"/>
      <c r="J368" s="10"/>
      <c r="K368" s="10"/>
      <c r="L368" s="12"/>
      <c r="M368" s="29" t="str">
        <f t="shared" si="1"/>
        <v/>
      </c>
      <c r="N368" s="31" t="str">
        <f>IFERROR(__xludf.DUMMYFUNCTION("IF(Account!$F368&lt;&gt;"""", VALUE(REGEXREPLACE($I368, ""\,"", ""."")), """")"),"")</f>
        <v/>
      </c>
      <c r="O368" s="33" t="str">
        <f>IF(Account!$F368&lt;&gt;"", DATEVALUE(MID($A368,4,3) &amp; LEFT($A368,3) &amp; RIGHT($A368,4)) + TIMEVALUE($B368), "")</f>
        <v/>
      </c>
      <c r="P368" s="34" t="str">
        <f>IF(Account!$F368&lt;&gt;"", DATEVALUE(MID($C368,4,3) &amp; LEFT($C368,3) &amp; RIGHT($C368,4)), "")</f>
        <v/>
      </c>
      <c r="Q368" s="35" t="str">
        <f t="array" ref="Q368">IF($R368&lt;&gt;"",IFERROR(INDEX(Investment!$A:$A,MATCH($R368,Investment!$H:$H,0))),)</f>
        <v/>
      </c>
      <c r="R368" s="36" t="str">
        <f t="array" ref="R368">IF(AND($Y368="change",$H368="EUR"),IF(AND($AA368="Crédit",$O368=$O369),$R369,IF(AND($AA368="Débit",$O368=$O367),$R367)),IF(OR(AND(OR($E368&lt;&gt;"",$M368=""),$N368&lt;&gt;0),$A368=""),IFERROR(INDEX(Investment!$H:$H,MATCH($E368,Investment!$F:$F,0))),IFERROR(INDEX($R369:$R1119,MATCH(SUBSTITUTE($I368,"-","",1),$K369:$K1119,0)),INDEX($R369:$R1119,MATCH($K368,$K369:$K1119,0)))))</f>
        <v/>
      </c>
      <c r="S368" s="35" t="str">
        <f t="shared" si="2"/>
        <v/>
      </c>
      <c r="T368" s="37" t="str">
        <f t="shared" si="3"/>
        <v/>
      </c>
      <c r="U368" s="38" t="str">
        <f t="shared" si="4"/>
        <v/>
      </c>
      <c r="V368" s="31" t="str">
        <f t="shared" si="5"/>
        <v/>
      </c>
      <c r="W368" s="39" t="str">
        <f>IFERROR(__xludf.DUMMYFUNCTION(" IF(Account!$F368&lt;&gt;"""", SPLIT(Account!$F368, "" ""), """")"),"")</f>
        <v/>
      </c>
      <c r="X368" s="40"/>
      <c r="Y368" s="40"/>
      <c r="Z368" s="40"/>
      <c r="AA368" s="40"/>
      <c r="AB368" s="40"/>
      <c r="AC368" s="40"/>
      <c r="AD368" s="40"/>
      <c r="AE368" s="40"/>
      <c r="AF368" s="40"/>
      <c r="AG368" s="40"/>
      <c r="AH368" s="40"/>
      <c r="AI368" s="40"/>
      <c r="AJ368" s="40"/>
      <c r="AK368" s="40"/>
    </row>
    <row r="369">
      <c r="A369" s="10"/>
      <c r="B369" s="10"/>
      <c r="C369" s="10"/>
      <c r="D369" s="10"/>
      <c r="E369" s="10"/>
      <c r="F369" s="12"/>
      <c r="G369" s="300"/>
      <c r="H369" s="10"/>
      <c r="I369" s="10"/>
      <c r="J369" s="10"/>
      <c r="K369" s="10"/>
      <c r="L369" s="12"/>
      <c r="M369" s="29" t="str">
        <f t="shared" si="1"/>
        <v/>
      </c>
      <c r="N369" s="31" t="str">
        <f>IFERROR(__xludf.DUMMYFUNCTION("IF(Account!$F369&lt;&gt;"""", VALUE(REGEXREPLACE($I369, ""\,"", ""."")), """")"),"")</f>
        <v/>
      </c>
      <c r="O369" s="33" t="str">
        <f>IF(Account!$F369&lt;&gt;"", DATEVALUE(MID($A369,4,3) &amp; LEFT($A369,3) &amp; RIGHT($A369,4)) + TIMEVALUE($B369), "")</f>
        <v/>
      </c>
      <c r="P369" s="34" t="str">
        <f>IF(Account!$F369&lt;&gt;"", DATEVALUE(MID($C369,4,3) &amp; LEFT($C369,3) &amp; RIGHT($C369,4)), "")</f>
        <v/>
      </c>
      <c r="Q369" s="35" t="str">
        <f t="array" ref="Q369">IF($R369&lt;&gt;"",IFERROR(INDEX(Investment!$A:$A,MATCH($R369,Investment!$H:$H,0))),)</f>
        <v/>
      </c>
      <c r="R369" s="36" t="str">
        <f t="array" ref="R369">IF(AND($Y369="change",$H369="EUR"),IF(AND($AA369="Crédit",$O369=$O370),$R370,IF(AND($AA369="Débit",$O369=$O368),$R368)),IF(OR(AND(OR($E369&lt;&gt;"",$M369=""),$N369&lt;&gt;0),$A369=""),IFERROR(INDEX(Investment!$H:$H,MATCH($E369,Investment!$F:$F,0))),IFERROR(INDEX($R370:$R1119,MATCH(SUBSTITUTE($I369,"-","",1),$K370:$K1119,0)),INDEX($R370:$R1119,MATCH($K369,$K370:$K1119,0)))))</f>
        <v/>
      </c>
      <c r="S369" s="35" t="str">
        <f t="shared" si="2"/>
        <v/>
      </c>
      <c r="T369" s="37" t="str">
        <f t="shared" si="3"/>
        <v/>
      </c>
      <c r="U369" s="38" t="str">
        <f t="shared" si="4"/>
        <v/>
      </c>
      <c r="V369" s="31" t="str">
        <f t="shared" si="5"/>
        <v/>
      </c>
      <c r="W369" s="39" t="str">
        <f>IFERROR(__xludf.DUMMYFUNCTION(" IF(Account!$F369&lt;&gt;"""", SPLIT(Account!$F369, "" ""), """")"),"")</f>
        <v/>
      </c>
      <c r="X369" s="40"/>
      <c r="Y369" s="40"/>
      <c r="Z369" s="40"/>
      <c r="AA369" s="40"/>
      <c r="AB369" s="40"/>
      <c r="AC369" s="40"/>
      <c r="AD369" s="40"/>
      <c r="AE369" s="40"/>
      <c r="AF369" s="40"/>
      <c r="AG369" s="40"/>
      <c r="AH369" s="40"/>
      <c r="AI369" s="40"/>
      <c r="AJ369" s="40"/>
      <c r="AK369" s="40"/>
    </row>
    <row r="370">
      <c r="A370" s="10"/>
      <c r="B370" s="10"/>
      <c r="C370" s="10"/>
      <c r="D370" s="10"/>
      <c r="E370" s="10"/>
      <c r="F370" s="12"/>
      <c r="G370" s="10"/>
      <c r="H370" s="10"/>
      <c r="I370" s="10"/>
      <c r="J370" s="10"/>
      <c r="K370" s="10"/>
      <c r="L370" s="12"/>
      <c r="M370" s="29" t="str">
        <f t="shared" si="1"/>
        <v/>
      </c>
      <c r="N370" s="31" t="str">
        <f>IFERROR(__xludf.DUMMYFUNCTION("IF(Account!$F370&lt;&gt;"""", VALUE(REGEXREPLACE($I370, ""\,"", ""."")), """")"),"")</f>
        <v/>
      </c>
      <c r="O370" s="33" t="str">
        <f>IF(Account!$F370&lt;&gt;"", DATEVALUE(MID($A370,4,3) &amp; LEFT($A370,3) &amp; RIGHT($A370,4)) + TIMEVALUE($B370), "")</f>
        <v/>
      </c>
      <c r="P370" s="34" t="str">
        <f>IF(Account!$F370&lt;&gt;"", DATEVALUE(MID($C370,4,3) &amp; LEFT($C370,3) &amp; RIGHT($C370,4)), "")</f>
        <v/>
      </c>
      <c r="Q370" s="35" t="str">
        <f t="array" ref="Q370">IF($R370&lt;&gt;"",IFERROR(INDEX(Investment!$A:$A,MATCH($R370,Investment!$H:$H,0))),)</f>
        <v/>
      </c>
      <c r="R370" s="36" t="str">
        <f t="array" ref="R370">IF(AND($Y370="change",$H370="EUR"),IF(AND($AA370="Crédit",$O370=$O371),$R371,IF(AND($AA370="Débit",$O370=$O369),$R369)),IF(OR(AND(OR($E370&lt;&gt;"",$M370=""),$N370&lt;&gt;0),$A370=""),IFERROR(INDEX(Investment!$H:$H,MATCH($E370,Investment!$F:$F,0))),IFERROR(INDEX($R371:$R1119,MATCH(SUBSTITUTE($I370,"-","",1),$K371:$K1119,0)),INDEX($R371:$R1119,MATCH($K370,$K371:$K1119,0)))))</f>
        <v/>
      </c>
      <c r="S370" s="35" t="str">
        <f t="shared" si="2"/>
        <v/>
      </c>
      <c r="T370" s="37" t="str">
        <f t="shared" si="3"/>
        <v/>
      </c>
      <c r="U370" s="38" t="str">
        <f t="shared" si="4"/>
        <v/>
      </c>
      <c r="V370" s="31" t="str">
        <f t="shared" si="5"/>
        <v/>
      </c>
      <c r="W370" s="39" t="str">
        <f>IFERROR(__xludf.DUMMYFUNCTION(" IF(Account!$F370&lt;&gt;"""", SPLIT(Account!$F370, "" ""), """")"),"")</f>
        <v/>
      </c>
      <c r="X370" s="40"/>
      <c r="Y370" s="40"/>
      <c r="Z370" s="40"/>
      <c r="AA370" s="40"/>
      <c r="AB370" s="40"/>
      <c r="AC370" s="40"/>
      <c r="AD370" s="40"/>
      <c r="AE370" s="40"/>
      <c r="AF370" s="40"/>
      <c r="AG370" s="40"/>
      <c r="AH370" s="40"/>
      <c r="AI370" s="40"/>
      <c r="AJ370" s="40"/>
      <c r="AK370" s="40"/>
    </row>
    <row r="371">
      <c r="A371" s="10"/>
      <c r="B371" s="10"/>
      <c r="C371" s="10"/>
      <c r="D371" s="10"/>
      <c r="E371" s="10"/>
      <c r="F371" s="12"/>
      <c r="G371" s="300"/>
      <c r="H371" s="10"/>
      <c r="I371" s="10"/>
      <c r="J371" s="10"/>
      <c r="K371" s="10"/>
      <c r="L371" s="12"/>
      <c r="M371" s="29" t="str">
        <f t="shared" si="1"/>
        <v/>
      </c>
      <c r="N371" s="31" t="str">
        <f>IFERROR(__xludf.DUMMYFUNCTION("IF(Account!$F371&lt;&gt;"""", VALUE(REGEXREPLACE($I371, ""\,"", ""."")), """")"),"")</f>
        <v/>
      </c>
      <c r="O371" s="33" t="str">
        <f>IF(Account!$F371&lt;&gt;"", DATEVALUE(MID($A371,4,3) &amp; LEFT($A371,3) &amp; RIGHT($A371,4)) + TIMEVALUE($B371), "")</f>
        <v/>
      </c>
      <c r="P371" s="34" t="str">
        <f>IF(Account!$F371&lt;&gt;"", DATEVALUE(MID($C371,4,3) &amp; LEFT($C371,3) &amp; RIGHT($C371,4)), "")</f>
        <v/>
      </c>
      <c r="Q371" s="35" t="str">
        <f t="array" ref="Q371">IF($R371&lt;&gt;"",IFERROR(INDEX(Investment!$A:$A,MATCH($R371,Investment!$H:$H,0))),)</f>
        <v/>
      </c>
      <c r="R371" s="36" t="str">
        <f t="array" ref="R371">IF(AND($Y371="change",$H371="EUR"),IF(AND($AA371="Crédit",$O371=$O372),$R372,IF(AND($AA371="Débit",$O371=$O370),$R370)),IF(OR(AND(OR($E371&lt;&gt;"",$M371=""),$N371&lt;&gt;0),$A371=""),IFERROR(INDEX(Investment!$H:$H,MATCH($E371,Investment!$F:$F,0))),IFERROR(INDEX($R372:$R1119,MATCH(SUBSTITUTE($I371,"-","",1),$K372:$K1119,0)),INDEX($R372:$R1119,MATCH($K371,$K372:$K1119,0)))))</f>
        <v/>
      </c>
      <c r="S371" s="35" t="str">
        <f t="shared" si="2"/>
        <v/>
      </c>
      <c r="T371" s="37" t="str">
        <f t="shared" si="3"/>
        <v/>
      </c>
      <c r="U371" s="38" t="str">
        <f t="shared" si="4"/>
        <v/>
      </c>
      <c r="V371" s="31" t="str">
        <f t="shared" si="5"/>
        <v/>
      </c>
      <c r="W371" s="39" t="str">
        <f>IFERROR(__xludf.DUMMYFUNCTION(" IF(Account!$F371&lt;&gt;"""", SPLIT(Account!$F371, "" ""), """")"),"")</f>
        <v/>
      </c>
      <c r="X371" s="40"/>
      <c r="Y371" s="40"/>
      <c r="Z371" s="40"/>
      <c r="AA371" s="40"/>
      <c r="AB371" s="40"/>
      <c r="AC371" s="40"/>
      <c r="AD371" s="40"/>
      <c r="AE371" s="40"/>
      <c r="AF371" s="40"/>
      <c r="AG371" s="40"/>
      <c r="AH371" s="40"/>
      <c r="AI371" s="40"/>
      <c r="AJ371" s="40"/>
      <c r="AK371" s="40"/>
    </row>
    <row r="372">
      <c r="A372" s="10"/>
      <c r="B372" s="10"/>
      <c r="C372" s="10"/>
      <c r="D372" s="10"/>
      <c r="E372" s="10"/>
      <c r="F372" s="12"/>
      <c r="G372" s="10"/>
      <c r="H372" s="10"/>
      <c r="I372" s="10"/>
      <c r="J372" s="10"/>
      <c r="K372" s="10"/>
      <c r="L372" s="12"/>
      <c r="M372" s="29" t="str">
        <f t="shared" si="1"/>
        <v/>
      </c>
      <c r="N372" s="31" t="str">
        <f>IFERROR(__xludf.DUMMYFUNCTION("IF(Account!$F372&lt;&gt;"""", VALUE(REGEXREPLACE($I372, ""\,"", ""."")), """")"),"")</f>
        <v/>
      </c>
      <c r="O372" s="33" t="str">
        <f>IF(Account!$F372&lt;&gt;"", DATEVALUE(MID($A372,4,3) &amp; LEFT($A372,3) &amp; RIGHT($A372,4)) + TIMEVALUE($B372), "")</f>
        <v/>
      </c>
      <c r="P372" s="34" t="str">
        <f>IF(Account!$F372&lt;&gt;"", DATEVALUE(MID($C372,4,3) &amp; LEFT($C372,3) &amp; RIGHT($C372,4)), "")</f>
        <v/>
      </c>
      <c r="Q372" s="35" t="str">
        <f t="array" ref="Q372">IF($R372&lt;&gt;"",IFERROR(INDEX(Investment!$A:$A,MATCH($R372,Investment!$H:$H,0))),)</f>
        <v/>
      </c>
      <c r="R372" s="36" t="str">
        <f t="array" ref="R372">IF(AND($Y372="change",$H372="EUR"),IF(AND($AA372="Crédit",$O372=$O373),$R373,IF(AND($AA372="Débit",$O372=$O371),$R371)),IF(OR(AND(OR($E372&lt;&gt;"",$M372=""),$N372&lt;&gt;0),$A372=""),IFERROR(INDEX(Investment!$H:$H,MATCH($E372,Investment!$F:$F,0))),IFERROR(INDEX($R373:$R1119,MATCH(SUBSTITUTE($I372,"-","",1),$K373:$K1119,0)),INDEX($R373:$R1119,MATCH($K372,$K373:$K1119,0)))))</f>
        <v/>
      </c>
      <c r="S372" s="35" t="str">
        <f t="shared" si="2"/>
        <v/>
      </c>
      <c r="T372" s="37" t="str">
        <f t="shared" si="3"/>
        <v/>
      </c>
      <c r="U372" s="38" t="str">
        <f t="shared" si="4"/>
        <v/>
      </c>
      <c r="V372" s="31" t="str">
        <f t="shared" si="5"/>
        <v/>
      </c>
      <c r="W372" s="39" t="str">
        <f>IFERROR(__xludf.DUMMYFUNCTION(" IF(Account!$F372&lt;&gt;"""", SPLIT(Account!$F372, "" ""), """")"),"")</f>
        <v/>
      </c>
      <c r="X372" s="40"/>
      <c r="Y372" s="40"/>
      <c r="Z372" s="40"/>
      <c r="AA372" s="40"/>
      <c r="AB372" s="40"/>
      <c r="AC372" s="40"/>
      <c r="AD372" s="40"/>
      <c r="AE372" s="40"/>
      <c r="AF372" s="40"/>
      <c r="AG372" s="40"/>
      <c r="AH372" s="40"/>
      <c r="AI372" s="40"/>
      <c r="AJ372" s="40"/>
      <c r="AK372" s="40"/>
    </row>
    <row r="373">
      <c r="A373" s="10"/>
      <c r="B373" s="10"/>
      <c r="C373" s="10"/>
      <c r="D373" s="10"/>
      <c r="E373" s="10"/>
      <c r="F373" s="12"/>
      <c r="G373" s="300"/>
      <c r="H373" s="10"/>
      <c r="I373" s="10"/>
      <c r="J373" s="10"/>
      <c r="K373" s="10"/>
      <c r="L373" s="12"/>
      <c r="M373" s="29" t="str">
        <f t="shared" si="1"/>
        <v/>
      </c>
      <c r="N373" s="31" t="str">
        <f>IFERROR(__xludf.DUMMYFUNCTION("IF(Account!$F373&lt;&gt;"""", VALUE(REGEXREPLACE($I373, ""\,"", ""."")), """")"),"")</f>
        <v/>
      </c>
      <c r="O373" s="33" t="str">
        <f>IF(Account!$F373&lt;&gt;"", DATEVALUE(MID($A373,4,3) &amp; LEFT($A373,3) &amp; RIGHT($A373,4)) + TIMEVALUE($B373), "")</f>
        <v/>
      </c>
      <c r="P373" s="34" t="str">
        <f>IF(Account!$F373&lt;&gt;"", DATEVALUE(MID($C373,4,3) &amp; LEFT($C373,3) &amp; RIGHT($C373,4)), "")</f>
        <v/>
      </c>
      <c r="Q373" s="35" t="str">
        <f t="array" ref="Q373">IF($R373&lt;&gt;"",IFERROR(INDEX(Investment!$A:$A,MATCH($R373,Investment!$H:$H,0))),)</f>
        <v/>
      </c>
      <c r="R373" s="36" t="str">
        <f t="array" ref="R373">IF(AND($Y373="change",$H373="EUR"),IF(AND($AA373="Crédit",$O373=$O374),$R374,IF(AND($AA373="Débit",$O373=$O372),$R372)),IF(OR(AND(OR($E373&lt;&gt;"",$M373=""),$N373&lt;&gt;0),$A373=""),IFERROR(INDEX(Investment!$H:$H,MATCH($E373,Investment!$F:$F,0))),IFERROR(INDEX($R374:$R1119,MATCH(SUBSTITUTE($I373,"-","",1),$K374:$K1119,0)),INDEX($R374:$R1119,MATCH($K373,$K374:$K1119,0)))))</f>
        <v/>
      </c>
      <c r="S373" s="35" t="str">
        <f t="shared" si="2"/>
        <v/>
      </c>
      <c r="T373" s="37" t="str">
        <f t="shared" si="3"/>
        <v/>
      </c>
      <c r="U373" s="38" t="str">
        <f t="shared" si="4"/>
        <v/>
      </c>
      <c r="V373" s="31" t="str">
        <f t="shared" si="5"/>
        <v/>
      </c>
      <c r="W373" s="39" t="str">
        <f>IFERROR(__xludf.DUMMYFUNCTION(" IF(Account!$F373&lt;&gt;"""", SPLIT(Account!$F373, "" ""), """")"),"")</f>
        <v/>
      </c>
      <c r="X373" s="40"/>
      <c r="Y373" s="40"/>
      <c r="Z373" s="40"/>
      <c r="AA373" s="40"/>
      <c r="AB373" s="40"/>
      <c r="AC373" s="40"/>
      <c r="AD373" s="40"/>
      <c r="AE373" s="40"/>
      <c r="AF373" s="40"/>
      <c r="AG373" s="40"/>
      <c r="AH373" s="40"/>
      <c r="AI373" s="40"/>
      <c r="AJ373" s="40"/>
      <c r="AK373" s="40"/>
    </row>
    <row r="374">
      <c r="A374" s="10"/>
      <c r="B374" s="10"/>
      <c r="C374" s="10"/>
      <c r="D374" s="10"/>
      <c r="E374" s="10"/>
      <c r="F374" s="12"/>
      <c r="G374" s="10"/>
      <c r="H374" s="10"/>
      <c r="I374" s="10"/>
      <c r="J374" s="10"/>
      <c r="K374" s="10"/>
      <c r="L374" s="12"/>
      <c r="M374" s="29" t="str">
        <f t="shared" si="1"/>
        <v/>
      </c>
      <c r="N374" s="31" t="str">
        <f>IFERROR(__xludf.DUMMYFUNCTION("IF(Account!$F374&lt;&gt;"""", VALUE(REGEXREPLACE($I374, ""\,"", ""."")), """")"),"")</f>
        <v/>
      </c>
      <c r="O374" s="33" t="str">
        <f>IF(Account!$F374&lt;&gt;"", DATEVALUE(MID($A374,4,3) &amp; LEFT($A374,3) &amp; RIGHT($A374,4)) + TIMEVALUE($B374), "")</f>
        <v/>
      </c>
      <c r="P374" s="34" t="str">
        <f>IF(Account!$F374&lt;&gt;"", DATEVALUE(MID($C374,4,3) &amp; LEFT($C374,3) &amp; RIGHT($C374,4)), "")</f>
        <v/>
      </c>
      <c r="Q374" s="35" t="str">
        <f t="array" ref="Q374">IF($R374&lt;&gt;"",IFERROR(INDEX(Investment!$A:$A,MATCH($R374,Investment!$H:$H,0))),)</f>
        <v/>
      </c>
      <c r="R374" s="36" t="str">
        <f t="array" ref="R374">IF(AND($Y374="change",$H374="EUR"),IF(AND($AA374="Crédit",$O374=$O375),$R375,IF(AND($AA374="Débit",$O374=$O373),$R373)),IF(OR(AND(OR($E374&lt;&gt;"",$M374=""),$N374&lt;&gt;0),$A374=""),IFERROR(INDEX(Investment!$H:$H,MATCH($E374,Investment!$F:$F,0))),IFERROR(INDEX($R375:$R1119,MATCH(SUBSTITUTE($I374,"-","",1),$K375:$K1119,0)),INDEX($R375:$R1119,MATCH($K374,$K375:$K1119,0)))))</f>
        <v/>
      </c>
      <c r="S374" s="35" t="str">
        <f t="shared" si="2"/>
        <v/>
      </c>
      <c r="T374" s="37" t="str">
        <f t="shared" si="3"/>
        <v/>
      </c>
      <c r="U374" s="38" t="str">
        <f t="shared" si="4"/>
        <v/>
      </c>
      <c r="V374" s="31" t="str">
        <f t="shared" si="5"/>
        <v/>
      </c>
      <c r="W374" s="39" t="str">
        <f>IFERROR(__xludf.DUMMYFUNCTION(" IF(Account!$F374&lt;&gt;"""", SPLIT(Account!$F374, "" ""), """")"),"")</f>
        <v/>
      </c>
      <c r="X374" s="40"/>
      <c r="Y374" s="40"/>
      <c r="Z374" s="40"/>
      <c r="AA374" s="40"/>
      <c r="AB374" s="40"/>
      <c r="AC374" s="40"/>
      <c r="AD374" s="40"/>
      <c r="AE374" s="40"/>
      <c r="AF374" s="40"/>
      <c r="AG374" s="40"/>
      <c r="AH374" s="40"/>
      <c r="AI374" s="40"/>
      <c r="AJ374" s="40"/>
      <c r="AK374" s="40"/>
    </row>
    <row r="375">
      <c r="A375" s="10"/>
      <c r="B375" s="10"/>
      <c r="C375" s="10"/>
      <c r="D375" s="10"/>
      <c r="E375" s="10"/>
      <c r="F375" s="12"/>
      <c r="G375" s="300"/>
      <c r="H375" s="10"/>
      <c r="I375" s="10"/>
      <c r="J375" s="10"/>
      <c r="K375" s="10"/>
      <c r="L375" s="12"/>
      <c r="M375" s="29" t="str">
        <f t="shared" si="1"/>
        <v/>
      </c>
      <c r="N375" s="31" t="str">
        <f>IFERROR(__xludf.DUMMYFUNCTION("IF(Account!$F375&lt;&gt;"""", VALUE(REGEXREPLACE($I375, ""\,"", ""."")), """")"),"")</f>
        <v/>
      </c>
      <c r="O375" s="33" t="str">
        <f>IF(Account!$F375&lt;&gt;"", DATEVALUE(MID($A375,4,3) &amp; LEFT($A375,3) &amp; RIGHT($A375,4)) + TIMEVALUE($B375), "")</f>
        <v/>
      </c>
      <c r="P375" s="34" t="str">
        <f>IF(Account!$F375&lt;&gt;"", DATEVALUE(MID($C375,4,3) &amp; LEFT($C375,3) &amp; RIGHT($C375,4)), "")</f>
        <v/>
      </c>
      <c r="Q375" s="35" t="str">
        <f t="array" ref="Q375">IF($R375&lt;&gt;"",IFERROR(INDEX(Investment!$A:$A,MATCH($R375,Investment!$H:$H,0))),)</f>
        <v/>
      </c>
      <c r="R375" s="36" t="str">
        <f t="array" ref="R375">IF(AND($Y375="change",$H375="EUR"),IF(AND($AA375="Crédit",$O375=$O376),$R376,IF(AND($AA375="Débit",$O375=$O374),$R374)),IF(OR(AND(OR($E375&lt;&gt;"",$M375=""),$N375&lt;&gt;0),$A375=""),IFERROR(INDEX(Investment!$H:$H,MATCH($E375,Investment!$F:$F,0))),IFERROR(INDEX($R376:$R1119,MATCH(SUBSTITUTE($I375,"-","",1),$K376:$K1119,0)),INDEX($R376:$R1119,MATCH($K375,$K376:$K1119,0)))))</f>
        <v/>
      </c>
      <c r="S375" s="35" t="str">
        <f t="shared" si="2"/>
        <v/>
      </c>
      <c r="T375" s="37" t="str">
        <f t="shared" si="3"/>
        <v/>
      </c>
      <c r="U375" s="38" t="str">
        <f t="shared" si="4"/>
        <v/>
      </c>
      <c r="V375" s="31" t="str">
        <f t="shared" si="5"/>
        <v/>
      </c>
      <c r="W375" s="39" t="str">
        <f>IFERROR(__xludf.DUMMYFUNCTION(" IF(Account!$F375&lt;&gt;"""", SPLIT(Account!$F375, "" ""), """")"),"")</f>
        <v/>
      </c>
      <c r="X375" s="40"/>
      <c r="Y375" s="40"/>
      <c r="Z375" s="40"/>
      <c r="AA375" s="40"/>
      <c r="AB375" s="40"/>
      <c r="AC375" s="40"/>
      <c r="AD375" s="40"/>
      <c r="AE375" s="40"/>
      <c r="AF375" s="40"/>
      <c r="AG375" s="40"/>
      <c r="AH375" s="40"/>
      <c r="AI375" s="40"/>
      <c r="AJ375" s="40"/>
      <c r="AK375" s="40"/>
    </row>
    <row r="376">
      <c r="A376" s="10"/>
      <c r="B376" s="10"/>
      <c r="C376" s="10"/>
      <c r="D376" s="10"/>
      <c r="E376" s="10"/>
      <c r="F376" s="12"/>
      <c r="G376" s="10"/>
      <c r="H376" s="10"/>
      <c r="I376" s="10"/>
      <c r="J376" s="10"/>
      <c r="K376" s="10"/>
      <c r="L376" s="12"/>
      <c r="M376" s="29" t="str">
        <f t="shared" si="1"/>
        <v/>
      </c>
      <c r="N376" s="31" t="str">
        <f>IFERROR(__xludf.DUMMYFUNCTION("IF(Account!$F376&lt;&gt;"""", VALUE(REGEXREPLACE($I376, ""\,"", ""."")), """")"),"")</f>
        <v/>
      </c>
      <c r="O376" s="33" t="str">
        <f>IF(Account!$F376&lt;&gt;"", DATEVALUE(MID($A376,4,3) &amp; LEFT($A376,3) &amp; RIGHT($A376,4)) + TIMEVALUE($B376), "")</f>
        <v/>
      </c>
      <c r="P376" s="34" t="str">
        <f>IF(Account!$F376&lt;&gt;"", DATEVALUE(MID($C376,4,3) &amp; LEFT($C376,3) &amp; RIGHT($C376,4)), "")</f>
        <v/>
      </c>
      <c r="Q376" s="35" t="str">
        <f t="array" ref="Q376">IF($R376&lt;&gt;"",IFERROR(INDEX(Investment!$A:$A,MATCH($R376,Investment!$H:$H,0))),)</f>
        <v/>
      </c>
      <c r="R376" s="36" t="str">
        <f t="array" ref="R376">IF(AND($Y376="change",$H376="EUR"),IF(AND($AA376="Crédit",$O376=$O377),$R377,IF(AND($AA376="Débit",$O376=$O375),$R375)),IF(OR(AND(OR($E376&lt;&gt;"",$M376=""),$N376&lt;&gt;0),$A376=""),IFERROR(INDEX(Investment!$H:$H,MATCH($E376,Investment!$F:$F,0))),IFERROR(INDEX($R377:$R1119,MATCH(SUBSTITUTE($I376,"-","",1),$K377:$K1119,0)),INDEX($R377:$R1119,MATCH($K376,$K377:$K1119,0)))))</f>
        <v/>
      </c>
      <c r="S376" s="35" t="str">
        <f t="shared" si="2"/>
        <v/>
      </c>
      <c r="T376" s="37" t="str">
        <f t="shared" si="3"/>
        <v/>
      </c>
      <c r="U376" s="38" t="str">
        <f t="shared" si="4"/>
        <v/>
      </c>
      <c r="V376" s="31" t="str">
        <f t="shared" si="5"/>
        <v/>
      </c>
      <c r="W376" s="39" t="str">
        <f>IFERROR(__xludf.DUMMYFUNCTION(" IF(Account!$F376&lt;&gt;"""", SPLIT(Account!$F376, "" ""), """")"),"")</f>
        <v/>
      </c>
      <c r="X376" s="40"/>
      <c r="Y376" s="40"/>
      <c r="Z376" s="40"/>
      <c r="AA376" s="40"/>
      <c r="AB376" s="40"/>
      <c r="AC376" s="40"/>
      <c r="AD376" s="40"/>
      <c r="AE376" s="40"/>
      <c r="AF376" s="40"/>
      <c r="AG376" s="40"/>
      <c r="AH376" s="40"/>
      <c r="AI376" s="40"/>
      <c r="AJ376" s="40"/>
      <c r="AK376" s="40"/>
    </row>
    <row r="377">
      <c r="A377" s="10"/>
      <c r="B377" s="10"/>
      <c r="C377" s="10"/>
      <c r="D377" s="10"/>
      <c r="E377" s="10"/>
      <c r="F377" s="12"/>
      <c r="G377" s="300"/>
      <c r="H377" s="10"/>
      <c r="I377" s="10"/>
      <c r="J377" s="10"/>
      <c r="K377" s="10"/>
      <c r="L377" s="12"/>
      <c r="M377" s="29" t="str">
        <f t="shared" si="1"/>
        <v/>
      </c>
      <c r="N377" s="31" t="str">
        <f>IFERROR(__xludf.DUMMYFUNCTION("IF(Account!$F377&lt;&gt;"""", VALUE(REGEXREPLACE($I377, ""\,"", ""."")), """")"),"")</f>
        <v/>
      </c>
      <c r="O377" s="33" t="str">
        <f>IF(Account!$F377&lt;&gt;"", DATEVALUE(MID($A377,4,3) &amp; LEFT($A377,3) &amp; RIGHT($A377,4)) + TIMEVALUE($B377), "")</f>
        <v/>
      </c>
      <c r="P377" s="34" t="str">
        <f>IF(Account!$F377&lt;&gt;"", DATEVALUE(MID($C377,4,3) &amp; LEFT($C377,3) &amp; RIGHT($C377,4)), "")</f>
        <v/>
      </c>
      <c r="Q377" s="35" t="str">
        <f t="array" ref="Q377">IF($R377&lt;&gt;"",IFERROR(INDEX(Investment!$A:$A,MATCH($R377,Investment!$H:$H,0))),)</f>
        <v/>
      </c>
      <c r="R377" s="36" t="str">
        <f t="array" ref="R377">IF(AND($Y377="change",$H377="EUR"),IF(AND($AA377="Crédit",$O377=$O378),$R378,IF(AND($AA377="Débit",$O377=$O376),$R376)),IF(OR(AND(OR($E377&lt;&gt;"",$M377=""),$N377&lt;&gt;0),$A377=""),IFERROR(INDEX(Investment!$H:$H,MATCH($E377,Investment!$F:$F,0))),IFERROR(INDEX($R378:$R1119,MATCH(SUBSTITUTE($I377,"-","",1),$K378:$K1119,0)),INDEX($R378:$R1119,MATCH($K377,$K378:$K1119,0)))))</f>
        <v/>
      </c>
      <c r="S377" s="35" t="str">
        <f t="shared" si="2"/>
        <v/>
      </c>
      <c r="T377" s="37" t="str">
        <f t="shared" si="3"/>
        <v/>
      </c>
      <c r="U377" s="38" t="str">
        <f t="shared" si="4"/>
        <v/>
      </c>
      <c r="V377" s="31" t="str">
        <f t="shared" si="5"/>
        <v/>
      </c>
      <c r="W377" s="39" t="str">
        <f>IFERROR(__xludf.DUMMYFUNCTION(" IF(Account!$F377&lt;&gt;"""", SPLIT(Account!$F377, "" ""), """")"),"")</f>
        <v/>
      </c>
      <c r="X377" s="40"/>
      <c r="Y377" s="40"/>
      <c r="Z377" s="40"/>
      <c r="AA377" s="40"/>
      <c r="AB377" s="40"/>
      <c r="AC377" s="40"/>
      <c r="AD377" s="40"/>
      <c r="AE377" s="40"/>
      <c r="AF377" s="40"/>
      <c r="AG377" s="40"/>
      <c r="AH377" s="40"/>
      <c r="AI377" s="40"/>
      <c r="AJ377" s="40"/>
      <c r="AK377" s="40"/>
    </row>
    <row r="378">
      <c r="A378" s="10"/>
      <c r="B378" s="10"/>
      <c r="C378" s="10"/>
      <c r="D378" s="10"/>
      <c r="E378" s="10"/>
      <c r="F378" s="12"/>
      <c r="G378" s="10"/>
      <c r="H378" s="10"/>
      <c r="I378" s="10"/>
      <c r="J378" s="10"/>
      <c r="K378" s="10"/>
      <c r="L378" s="12"/>
      <c r="M378" s="29" t="str">
        <f t="shared" si="1"/>
        <v/>
      </c>
      <c r="N378" s="31" t="str">
        <f>IFERROR(__xludf.DUMMYFUNCTION("IF(Account!$F378&lt;&gt;"""", VALUE(REGEXREPLACE($I378, ""\,"", ""."")), """")"),"")</f>
        <v/>
      </c>
      <c r="O378" s="33" t="str">
        <f>IF(Account!$F378&lt;&gt;"", DATEVALUE(MID($A378,4,3) &amp; LEFT($A378,3) &amp; RIGHT($A378,4)) + TIMEVALUE($B378), "")</f>
        <v/>
      </c>
      <c r="P378" s="34" t="str">
        <f>IF(Account!$F378&lt;&gt;"", DATEVALUE(MID($C378,4,3) &amp; LEFT($C378,3) &amp; RIGHT($C378,4)), "")</f>
        <v/>
      </c>
      <c r="Q378" s="35" t="str">
        <f t="array" ref="Q378">IF($R378&lt;&gt;"",IFERROR(INDEX(Investment!$A:$A,MATCH($R378,Investment!$H:$H,0))),)</f>
        <v/>
      </c>
      <c r="R378" s="36" t="str">
        <f t="array" ref="R378">IF(AND($Y378="change",$H378="EUR"),IF(AND($AA378="Crédit",$O378=$O379),$R379,IF(AND($AA378="Débit",$O378=$O377),$R377)),IF(OR(AND(OR($E378&lt;&gt;"",$M378=""),$N378&lt;&gt;0),$A378=""),IFERROR(INDEX(Investment!$H:$H,MATCH($E378,Investment!$F:$F,0))),IFERROR(INDEX($R379:$R1119,MATCH(SUBSTITUTE($I378,"-","",1),$K379:$K1119,0)),INDEX($R379:$R1119,MATCH($K378,$K379:$K1119,0)))))</f>
        <v/>
      </c>
      <c r="S378" s="35" t="str">
        <f t="shared" si="2"/>
        <v/>
      </c>
      <c r="T378" s="37" t="str">
        <f t="shared" si="3"/>
        <v/>
      </c>
      <c r="U378" s="38" t="str">
        <f t="shared" si="4"/>
        <v/>
      </c>
      <c r="V378" s="31" t="str">
        <f t="shared" si="5"/>
        <v/>
      </c>
      <c r="W378" s="39" t="str">
        <f>IFERROR(__xludf.DUMMYFUNCTION(" IF(Account!$F378&lt;&gt;"""", SPLIT(Account!$F378, "" ""), """")"),"")</f>
        <v/>
      </c>
      <c r="X378" s="40"/>
      <c r="Y378" s="40"/>
      <c r="Z378" s="40"/>
      <c r="AA378" s="40"/>
      <c r="AB378" s="40"/>
      <c r="AC378" s="40"/>
      <c r="AD378" s="40"/>
      <c r="AE378" s="40"/>
      <c r="AF378" s="40"/>
      <c r="AG378" s="40"/>
      <c r="AH378" s="40"/>
      <c r="AI378" s="40"/>
      <c r="AJ378" s="40"/>
      <c r="AK378" s="40"/>
    </row>
    <row r="379">
      <c r="A379" s="10"/>
      <c r="B379" s="10"/>
      <c r="C379" s="10"/>
      <c r="D379" s="10"/>
      <c r="E379" s="10"/>
      <c r="F379" s="12"/>
      <c r="G379" s="300"/>
      <c r="H379" s="10"/>
      <c r="I379" s="10"/>
      <c r="J379" s="10"/>
      <c r="K379" s="10"/>
      <c r="L379" s="12"/>
      <c r="M379" s="29" t="str">
        <f t="shared" si="1"/>
        <v/>
      </c>
      <c r="N379" s="31" t="str">
        <f>IFERROR(__xludf.DUMMYFUNCTION("IF(Account!$F379&lt;&gt;"""", VALUE(REGEXREPLACE($I379, ""\,"", ""."")), """")"),"")</f>
        <v/>
      </c>
      <c r="O379" s="33" t="str">
        <f>IF(Account!$F379&lt;&gt;"", DATEVALUE(MID($A379,4,3) &amp; LEFT($A379,3) &amp; RIGHT($A379,4)) + TIMEVALUE($B379), "")</f>
        <v/>
      </c>
      <c r="P379" s="34" t="str">
        <f>IF(Account!$F379&lt;&gt;"", DATEVALUE(MID($C379,4,3) &amp; LEFT($C379,3) &amp; RIGHT($C379,4)), "")</f>
        <v/>
      </c>
      <c r="Q379" s="35" t="str">
        <f t="array" ref="Q379">IF($R379&lt;&gt;"",IFERROR(INDEX(Investment!$A:$A,MATCH($R379,Investment!$H:$H,0))),)</f>
        <v/>
      </c>
      <c r="R379" s="36" t="str">
        <f t="array" ref="R379">IF(AND($Y379="change",$H379="EUR"),IF(AND($AA379="Crédit",$O379=$O380),$R380,IF(AND($AA379="Débit",$O379=$O378),$R378)),IF(OR(AND(OR($E379&lt;&gt;"",$M379=""),$N379&lt;&gt;0),$A379=""),IFERROR(INDEX(Investment!$H:$H,MATCH($E379,Investment!$F:$F,0))),IFERROR(INDEX($R380:$R1119,MATCH(SUBSTITUTE($I379,"-","",1),$K380:$K1119,0)),INDEX($R380:$R1119,MATCH($K379,$K380:$K1119,0)))))</f>
        <v/>
      </c>
      <c r="S379" s="35" t="str">
        <f t="shared" si="2"/>
        <v/>
      </c>
      <c r="T379" s="37" t="str">
        <f t="shared" si="3"/>
        <v/>
      </c>
      <c r="U379" s="38" t="str">
        <f t="shared" si="4"/>
        <v/>
      </c>
      <c r="V379" s="31" t="str">
        <f t="shared" si="5"/>
        <v/>
      </c>
      <c r="W379" s="39" t="str">
        <f>IFERROR(__xludf.DUMMYFUNCTION(" IF(Account!$F379&lt;&gt;"""", SPLIT(Account!$F379, "" ""), """")"),"")</f>
        <v/>
      </c>
      <c r="X379" s="40"/>
      <c r="Y379" s="40"/>
      <c r="Z379" s="40"/>
      <c r="AA379" s="40"/>
      <c r="AB379" s="40"/>
      <c r="AC379" s="40"/>
      <c r="AD379" s="40"/>
      <c r="AE379" s="40"/>
      <c r="AF379" s="40"/>
      <c r="AG379" s="40"/>
      <c r="AH379" s="40"/>
      <c r="AI379" s="40"/>
      <c r="AJ379" s="40"/>
      <c r="AK379" s="40"/>
    </row>
    <row r="380">
      <c r="A380" s="10"/>
      <c r="B380" s="10"/>
      <c r="C380" s="10"/>
      <c r="D380" s="10"/>
      <c r="E380" s="10"/>
      <c r="F380" s="12"/>
      <c r="G380" s="10"/>
      <c r="H380" s="10"/>
      <c r="I380" s="10"/>
      <c r="J380" s="10"/>
      <c r="K380" s="10"/>
      <c r="L380" s="12"/>
      <c r="M380" s="29" t="str">
        <f t="shared" si="1"/>
        <v/>
      </c>
      <c r="N380" s="31" t="str">
        <f>IFERROR(__xludf.DUMMYFUNCTION("IF(Account!$F380&lt;&gt;"""", VALUE(REGEXREPLACE($I380, ""\,"", ""."")), """")"),"")</f>
        <v/>
      </c>
      <c r="O380" s="33" t="str">
        <f>IF(Account!$F380&lt;&gt;"", DATEVALUE(MID($A380,4,3) &amp; LEFT($A380,3) &amp; RIGHT($A380,4)) + TIMEVALUE($B380), "")</f>
        <v/>
      </c>
      <c r="P380" s="34" t="str">
        <f>IF(Account!$F380&lt;&gt;"", DATEVALUE(MID($C380,4,3) &amp; LEFT($C380,3) &amp; RIGHT($C380,4)), "")</f>
        <v/>
      </c>
      <c r="Q380" s="35" t="str">
        <f t="array" ref="Q380">IF($R380&lt;&gt;"",IFERROR(INDEX(Investment!$A:$A,MATCH($R380,Investment!$H:$H,0))),)</f>
        <v/>
      </c>
      <c r="R380" s="36" t="str">
        <f t="array" ref="R380">IF(AND($Y380="change",$H380="EUR"),IF(AND($AA380="Crédit",$O380=$O381),$R381,IF(AND($AA380="Débit",$O380=$O379),$R379)),IF(OR(AND(OR($E380&lt;&gt;"",$M380=""),$N380&lt;&gt;0),$A380=""),IFERROR(INDEX(Investment!$H:$H,MATCH($E380,Investment!$F:$F,0))),IFERROR(INDEX($R381:$R1119,MATCH(SUBSTITUTE($I380,"-","",1),$K381:$K1119,0)),INDEX($R381:$R1119,MATCH($K380,$K381:$K1119,0)))))</f>
        <v/>
      </c>
      <c r="S380" s="35" t="str">
        <f t="shared" si="2"/>
        <v/>
      </c>
      <c r="T380" s="37" t="str">
        <f t="shared" si="3"/>
        <v/>
      </c>
      <c r="U380" s="38" t="str">
        <f t="shared" si="4"/>
        <v/>
      </c>
      <c r="V380" s="31" t="str">
        <f t="shared" si="5"/>
        <v/>
      </c>
      <c r="W380" s="39" t="str">
        <f>IFERROR(__xludf.DUMMYFUNCTION(" IF(Account!$F380&lt;&gt;"""", SPLIT(Account!$F380, "" ""), """")"),"")</f>
        <v/>
      </c>
      <c r="X380" s="40"/>
      <c r="Y380" s="40"/>
      <c r="Z380" s="40"/>
      <c r="AA380" s="40"/>
      <c r="AB380" s="40"/>
      <c r="AC380" s="40"/>
      <c r="AD380" s="40"/>
      <c r="AE380" s="40"/>
      <c r="AF380" s="40"/>
      <c r="AG380" s="40"/>
      <c r="AH380" s="40"/>
      <c r="AI380" s="40"/>
      <c r="AJ380" s="40"/>
      <c r="AK380" s="40"/>
    </row>
    <row r="381">
      <c r="A381" s="10"/>
      <c r="B381" s="10"/>
      <c r="C381" s="10"/>
      <c r="D381" s="10"/>
      <c r="E381" s="10"/>
      <c r="F381" s="12"/>
      <c r="G381" s="300"/>
      <c r="H381" s="10"/>
      <c r="I381" s="10"/>
      <c r="J381" s="10"/>
      <c r="K381" s="10"/>
      <c r="L381" s="12"/>
      <c r="M381" s="29" t="str">
        <f t="shared" si="1"/>
        <v/>
      </c>
      <c r="N381" s="31" t="str">
        <f>IFERROR(__xludf.DUMMYFUNCTION("IF(Account!$F381&lt;&gt;"""", VALUE(REGEXREPLACE($I381, ""\,"", ""."")), """")"),"")</f>
        <v/>
      </c>
      <c r="O381" s="33" t="str">
        <f>IF(Account!$F381&lt;&gt;"", DATEVALUE(MID($A381,4,3) &amp; LEFT($A381,3) &amp; RIGHT($A381,4)) + TIMEVALUE($B381), "")</f>
        <v/>
      </c>
      <c r="P381" s="34" t="str">
        <f>IF(Account!$F381&lt;&gt;"", DATEVALUE(MID($C381,4,3) &amp; LEFT($C381,3) &amp; RIGHT($C381,4)), "")</f>
        <v/>
      </c>
      <c r="Q381" s="35" t="str">
        <f t="array" ref="Q381">IF($R381&lt;&gt;"",IFERROR(INDEX(Investment!$A:$A,MATCH($R381,Investment!$H:$H,0))),)</f>
        <v/>
      </c>
      <c r="R381" s="36" t="str">
        <f t="array" ref="R381">IF(AND($Y381="change",$H381="EUR"),IF(AND($AA381="Crédit",$O381=$O382),$R382,IF(AND($AA381="Débit",$O381=$O380),$R380)),IF(OR(AND(OR($E381&lt;&gt;"",$M381=""),$N381&lt;&gt;0),$A381=""),IFERROR(INDEX(Investment!$H:$H,MATCH($E381,Investment!$F:$F,0))),IFERROR(INDEX($R382:$R1119,MATCH(SUBSTITUTE($I381,"-","",1),$K382:$K1119,0)),INDEX($R382:$R1119,MATCH($K381,$K382:$K1119,0)))))</f>
        <v/>
      </c>
      <c r="S381" s="35" t="str">
        <f t="shared" si="2"/>
        <v/>
      </c>
      <c r="T381" s="37" t="str">
        <f t="shared" si="3"/>
        <v/>
      </c>
      <c r="U381" s="38" t="str">
        <f t="shared" si="4"/>
        <v/>
      </c>
      <c r="V381" s="31" t="str">
        <f t="shared" si="5"/>
        <v/>
      </c>
      <c r="W381" s="39" t="str">
        <f>IFERROR(__xludf.DUMMYFUNCTION(" IF(Account!$F381&lt;&gt;"""", SPLIT(Account!$F381, "" ""), """")"),"")</f>
        <v/>
      </c>
      <c r="X381" s="40"/>
      <c r="Y381" s="40"/>
      <c r="Z381" s="40"/>
      <c r="AA381" s="40"/>
      <c r="AB381" s="40"/>
      <c r="AC381" s="40"/>
      <c r="AD381" s="40"/>
      <c r="AE381" s="40"/>
      <c r="AF381" s="40"/>
      <c r="AG381" s="40"/>
      <c r="AH381" s="40"/>
      <c r="AI381" s="40"/>
      <c r="AJ381" s="40"/>
      <c r="AK381" s="40"/>
    </row>
    <row r="382">
      <c r="A382" s="10"/>
      <c r="B382" s="10"/>
      <c r="C382" s="10"/>
      <c r="D382" s="10"/>
      <c r="E382" s="10"/>
      <c r="F382" s="12"/>
      <c r="G382" s="300"/>
      <c r="H382" s="10"/>
      <c r="I382" s="10"/>
      <c r="J382" s="10"/>
      <c r="K382" s="10"/>
      <c r="L382" s="12"/>
      <c r="M382" s="29" t="str">
        <f t="shared" si="1"/>
        <v/>
      </c>
      <c r="N382" s="31" t="str">
        <f>IFERROR(__xludf.DUMMYFUNCTION("IF(Account!$F382&lt;&gt;"""", VALUE(REGEXREPLACE($I382, ""\,"", ""."")), """")"),"")</f>
        <v/>
      </c>
      <c r="O382" s="33" t="str">
        <f>IF(Account!$F382&lt;&gt;"", DATEVALUE(MID($A382,4,3) &amp; LEFT($A382,3) &amp; RIGHT($A382,4)) + TIMEVALUE($B382), "")</f>
        <v/>
      </c>
      <c r="P382" s="34" t="str">
        <f>IF(Account!$F382&lt;&gt;"", DATEVALUE(MID($C382,4,3) &amp; LEFT($C382,3) &amp; RIGHT($C382,4)), "")</f>
        <v/>
      </c>
      <c r="Q382" s="35" t="str">
        <f t="array" ref="Q382">IF($R382&lt;&gt;"",IFERROR(INDEX(Investment!$A:$A,MATCH($R382,Investment!$H:$H,0))),)</f>
        <v/>
      </c>
      <c r="R382" s="36" t="str">
        <f t="array" ref="R382">IF(AND($Y382="change",$H382="EUR"),IF(AND($AA382="Crédit",$O382=$O383),$R383,IF(AND($AA382="Débit",$O382=$O381),$R381)),IF(OR(AND(OR($E382&lt;&gt;"",$M382=""),$N382&lt;&gt;0),$A382=""),IFERROR(INDEX(Investment!$H:$H,MATCH($E382,Investment!$F:$F,0))),IFERROR(INDEX($R383:$R1119,MATCH(SUBSTITUTE($I382,"-","",1),$K383:$K1119,0)),INDEX($R383:$R1119,MATCH($K382,$K383:$K1119,0)))))</f>
        <v/>
      </c>
      <c r="S382" s="35" t="str">
        <f t="shared" si="2"/>
        <v/>
      </c>
      <c r="T382" s="37" t="str">
        <f t="shared" si="3"/>
        <v/>
      </c>
      <c r="U382" s="38" t="str">
        <f t="shared" si="4"/>
        <v/>
      </c>
      <c r="V382" s="31" t="str">
        <f t="shared" si="5"/>
        <v/>
      </c>
      <c r="W382" s="39" t="str">
        <f>IFERROR(__xludf.DUMMYFUNCTION(" IF(Account!$F382&lt;&gt;"""", SPLIT(Account!$F382, "" ""), """")"),"")</f>
        <v/>
      </c>
      <c r="X382" s="40"/>
      <c r="Y382" s="40"/>
      <c r="Z382" s="40"/>
      <c r="AA382" s="40"/>
      <c r="AB382" s="40"/>
      <c r="AC382" s="40"/>
      <c r="AD382" s="40"/>
      <c r="AE382" s="40"/>
      <c r="AF382" s="40"/>
      <c r="AG382" s="40"/>
      <c r="AH382" s="40"/>
      <c r="AI382" s="40"/>
      <c r="AJ382" s="40"/>
      <c r="AK382" s="40"/>
    </row>
    <row r="383">
      <c r="A383" s="10"/>
      <c r="B383" s="10"/>
      <c r="C383" s="10"/>
      <c r="D383" s="10"/>
      <c r="E383" s="10"/>
      <c r="F383" s="12"/>
      <c r="G383" s="300"/>
      <c r="H383" s="10"/>
      <c r="I383" s="10"/>
      <c r="J383" s="10"/>
      <c r="K383" s="10"/>
      <c r="L383" s="12"/>
      <c r="M383" s="29" t="str">
        <f t="shared" si="1"/>
        <v/>
      </c>
      <c r="N383" s="31" t="str">
        <f>IFERROR(__xludf.DUMMYFUNCTION("IF(Account!$F383&lt;&gt;"""", VALUE(REGEXREPLACE($I383, ""\,"", ""."")), """")"),"")</f>
        <v/>
      </c>
      <c r="O383" s="33" t="str">
        <f>IF(Account!$F383&lt;&gt;"", DATEVALUE(MID($A383,4,3) &amp; LEFT($A383,3) &amp; RIGHT($A383,4)) + TIMEVALUE($B383), "")</f>
        <v/>
      </c>
      <c r="P383" s="34" t="str">
        <f>IF(Account!$F383&lt;&gt;"", DATEVALUE(MID($C383,4,3) &amp; LEFT($C383,3) &amp; RIGHT($C383,4)), "")</f>
        <v/>
      </c>
      <c r="Q383" s="35" t="str">
        <f t="array" ref="Q383">IF($R383&lt;&gt;"",IFERROR(INDEX(Investment!$A:$A,MATCH($R383,Investment!$H:$H,0))),)</f>
        <v/>
      </c>
      <c r="R383" s="36" t="str">
        <f t="array" ref="R383">IF(AND($Y383="change",$H383="EUR"),IF(AND($AA383="Crédit",$O383=$O384),$R384,IF(AND($AA383="Débit",$O383=$O382),$R382)),IF(OR(AND(OR($E383&lt;&gt;"",$M383=""),$N383&lt;&gt;0),$A383=""),IFERROR(INDEX(Investment!$H:$H,MATCH($E383,Investment!$F:$F,0))),IFERROR(INDEX($R384:$R1119,MATCH(SUBSTITUTE($I383,"-","",1),$K384:$K1119,0)),INDEX($R384:$R1119,MATCH($K383,$K384:$K1119,0)))))</f>
        <v/>
      </c>
      <c r="S383" s="35" t="str">
        <f t="shared" si="2"/>
        <v/>
      </c>
      <c r="T383" s="37" t="str">
        <f t="shared" si="3"/>
        <v/>
      </c>
      <c r="U383" s="38" t="str">
        <f t="shared" si="4"/>
        <v/>
      </c>
      <c r="V383" s="31" t="str">
        <f t="shared" si="5"/>
        <v/>
      </c>
      <c r="W383" s="39" t="str">
        <f>IFERROR(__xludf.DUMMYFUNCTION(" IF(Account!$F383&lt;&gt;"""", SPLIT(Account!$F383, "" ""), """")"),"")</f>
        <v/>
      </c>
      <c r="X383" s="40"/>
      <c r="Y383" s="40"/>
      <c r="Z383" s="40"/>
      <c r="AA383" s="40"/>
      <c r="AB383" s="40"/>
      <c r="AC383" s="40"/>
      <c r="AD383" s="40"/>
      <c r="AE383" s="40"/>
      <c r="AF383" s="40"/>
      <c r="AG383" s="40"/>
      <c r="AH383" s="40"/>
      <c r="AI383" s="40"/>
      <c r="AJ383" s="40"/>
      <c r="AK383" s="40"/>
    </row>
    <row r="384">
      <c r="A384" s="10"/>
      <c r="B384" s="10"/>
      <c r="C384" s="10"/>
      <c r="D384" s="10"/>
      <c r="E384" s="10"/>
      <c r="F384" s="12"/>
      <c r="G384" s="300"/>
      <c r="H384" s="10"/>
      <c r="I384" s="10"/>
      <c r="J384" s="10"/>
      <c r="K384" s="10"/>
      <c r="L384" s="12"/>
      <c r="M384" s="29" t="str">
        <f t="shared" si="1"/>
        <v/>
      </c>
      <c r="N384" s="31" t="str">
        <f>IFERROR(__xludf.DUMMYFUNCTION("IF(Account!$F384&lt;&gt;"""", VALUE(REGEXREPLACE($I384, ""\,"", ""."")), """")"),"")</f>
        <v/>
      </c>
      <c r="O384" s="33" t="str">
        <f>IF(Account!$F384&lt;&gt;"", DATEVALUE(MID($A384,4,3) &amp; LEFT($A384,3) &amp; RIGHT($A384,4)) + TIMEVALUE($B384), "")</f>
        <v/>
      </c>
      <c r="P384" s="34" t="str">
        <f>IF(Account!$F384&lt;&gt;"", DATEVALUE(MID($C384,4,3) &amp; LEFT($C384,3) &amp; RIGHT($C384,4)), "")</f>
        <v/>
      </c>
      <c r="Q384" s="35" t="str">
        <f t="array" ref="Q384">IF($R384&lt;&gt;"",IFERROR(INDEX(Investment!$A:$A,MATCH($R384,Investment!$H:$H,0))),)</f>
        <v/>
      </c>
      <c r="R384" s="36" t="str">
        <f t="array" ref="R384">IF(AND($Y384="change",$H384="EUR"),IF(AND($AA384="Crédit",$O384=$O385),$R385,IF(AND($AA384="Débit",$O384=$O383),$R383)),IF(OR(AND(OR($E384&lt;&gt;"",$M384=""),$N384&lt;&gt;0),$A384=""),IFERROR(INDEX(Investment!$H:$H,MATCH($E384,Investment!$F:$F,0))),IFERROR(INDEX($R385:$R1119,MATCH(SUBSTITUTE($I384,"-","",1),$K385:$K1119,0)),INDEX($R385:$R1119,MATCH($K384,$K385:$K1119,0)))))</f>
        <v/>
      </c>
      <c r="S384" s="35" t="str">
        <f t="shared" si="2"/>
        <v/>
      </c>
      <c r="T384" s="37" t="str">
        <f t="shared" si="3"/>
        <v/>
      </c>
      <c r="U384" s="38" t="str">
        <f t="shared" si="4"/>
        <v/>
      </c>
      <c r="V384" s="31" t="str">
        <f t="shared" si="5"/>
        <v/>
      </c>
      <c r="W384" s="39" t="str">
        <f>IFERROR(__xludf.DUMMYFUNCTION(" IF(Account!$F384&lt;&gt;"""", SPLIT(Account!$F384, "" ""), """")"),"")</f>
        <v/>
      </c>
      <c r="X384" s="40"/>
      <c r="Y384" s="40"/>
      <c r="Z384" s="40"/>
      <c r="AA384" s="40"/>
      <c r="AB384" s="40"/>
      <c r="AC384" s="40"/>
      <c r="AD384" s="40"/>
      <c r="AE384" s="40"/>
      <c r="AF384" s="40"/>
      <c r="AG384" s="40"/>
      <c r="AH384" s="40"/>
      <c r="AI384" s="40"/>
      <c r="AJ384" s="40"/>
      <c r="AK384" s="40"/>
    </row>
    <row r="385">
      <c r="A385" s="10"/>
      <c r="B385" s="10"/>
      <c r="C385" s="10"/>
      <c r="D385" s="10"/>
      <c r="E385" s="10"/>
      <c r="F385" s="12"/>
      <c r="G385" s="300"/>
      <c r="H385" s="10"/>
      <c r="I385" s="10"/>
      <c r="J385" s="10"/>
      <c r="K385" s="10"/>
      <c r="L385" s="12"/>
      <c r="M385" s="29" t="str">
        <f t="shared" si="1"/>
        <v/>
      </c>
      <c r="N385" s="31" t="str">
        <f>IFERROR(__xludf.DUMMYFUNCTION("IF(Account!$F385&lt;&gt;"""", VALUE(REGEXREPLACE($I385, ""\,"", ""."")), """")"),"")</f>
        <v/>
      </c>
      <c r="O385" s="33" t="str">
        <f>IF(Account!$F385&lt;&gt;"", DATEVALUE(MID($A385,4,3) &amp; LEFT($A385,3) &amp; RIGHT($A385,4)) + TIMEVALUE($B385), "")</f>
        <v/>
      </c>
      <c r="P385" s="34" t="str">
        <f>IF(Account!$F385&lt;&gt;"", DATEVALUE(MID($C385,4,3) &amp; LEFT($C385,3) &amp; RIGHT($C385,4)), "")</f>
        <v/>
      </c>
      <c r="Q385" s="35" t="str">
        <f t="array" ref="Q385">IF($R385&lt;&gt;"",IFERROR(INDEX(Investment!$A:$A,MATCH($R385,Investment!$H:$H,0))),)</f>
        <v/>
      </c>
      <c r="R385" s="36" t="str">
        <f t="array" ref="R385">IF(AND($Y385="change",$H385="EUR"),IF(AND($AA385="Crédit",$O385=$O386),$R386,IF(AND($AA385="Débit",$O385=$O384),$R384)),IF(OR(AND(OR($E385&lt;&gt;"",$M385=""),$N385&lt;&gt;0),$A385=""),IFERROR(INDEX(Investment!$H:$H,MATCH($E385,Investment!$F:$F,0))),IFERROR(INDEX($R386:$R1119,MATCH(SUBSTITUTE($I385,"-","",1),$K386:$K1119,0)),INDEX($R386:$R1119,MATCH($K385,$K386:$K1119,0)))))</f>
        <v/>
      </c>
      <c r="S385" s="35" t="str">
        <f t="shared" si="2"/>
        <v/>
      </c>
      <c r="T385" s="37" t="str">
        <f t="shared" si="3"/>
        <v/>
      </c>
      <c r="U385" s="38" t="str">
        <f t="shared" si="4"/>
        <v/>
      </c>
      <c r="V385" s="31" t="str">
        <f t="shared" si="5"/>
        <v/>
      </c>
      <c r="W385" s="39" t="str">
        <f>IFERROR(__xludf.DUMMYFUNCTION(" IF(Account!$F385&lt;&gt;"""", SPLIT(Account!$F385, "" ""), """")"),"")</f>
        <v/>
      </c>
      <c r="X385" s="40"/>
      <c r="Y385" s="40"/>
      <c r="Z385" s="40"/>
      <c r="AA385" s="40"/>
      <c r="AB385" s="40"/>
      <c r="AC385" s="40"/>
      <c r="AD385" s="40"/>
      <c r="AE385" s="40"/>
      <c r="AF385" s="40"/>
      <c r="AG385" s="40"/>
      <c r="AH385" s="40"/>
      <c r="AI385" s="40"/>
      <c r="AJ385" s="40"/>
      <c r="AK385" s="40"/>
    </row>
    <row r="386">
      <c r="A386" s="10"/>
      <c r="B386" s="10"/>
      <c r="C386" s="10"/>
      <c r="D386" s="10"/>
      <c r="E386" s="10"/>
      <c r="F386" s="12"/>
      <c r="G386" s="300"/>
      <c r="H386" s="10"/>
      <c r="I386" s="10"/>
      <c r="J386" s="10"/>
      <c r="K386" s="10"/>
      <c r="L386" s="12"/>
      <c r="M386" s="29" t="str">
        <f t="shared" si="1"/>
        <v/>
      </c>
      <c r="N386" s="31" t="str">
        <f>IFERROR(__xludf.DUMMYFUNCTION("IF(Account!$F386&lt;&gt;"""", VALUE(REGEXREPLACE($I386, ""\,"", ""."")), """")"),"")</f>
        <v/>
      </c>
      <c r="O386" s="33" t="str">
        <f>IF(Account!$F386&lt;&gt;"", DATEVALUE(MID($A386,4,3) &amp; LEFT($A386,3) &amp; RIGHT($A386,4)) + TIMEVALUE($B386), "")</f>
        <v/>
      </c>
      <c r="P386" s="34" t="str">
        <f>IF(Account!$F386&lt;&gt;"", DATEVALUE(MID($C386,4,3) &amp; LEFT($C386,3) &amp; RIGHT($C386,4)), "")</f>
        <v/>
      </c>
      <c r="Q386" s="35" t="str">
        <f t="array" ref="Q386">IF($R386&lt;&gt;"",IFERROR(INDEX(Investment!$A:$A,MATCH($R386,Investment!$H:$H,0))),)</f>
        <v/>
      </c>
      <c r="R386" s="36" t="str">
        <f t="array" ref="R386">IF(AND($Y386="change",$H386="EUR"),IF(AND($AA386="Crédit",$O386=$O387),$R387,IF(AND($AA386="Débit",$O386=$O385),$R385)),IF(OR(AND(OR($E386&lt;&gt;"",$M386=""),$N386&lt;&gt;0),$A386=""),IFERROR(INDEX(Investment!$H:$H,MATCH($E386,Investment!$F:$F,0))),IFERROR(INDEX($R387:$R1119,MATCH(SUBSTITUTE($I386,"-","",1),$K387:$K1119,0)),INDEX($R387:$R1119,MATCH($K386,$K387:$K1119,0)))))</f>
        <v/>
      </c>
      <c r="S386" s="35" t="str">
        <f t="shared" si="2"/>
        <v/>
      </c>
      <c r="T386" s="37" t="str">
        <f t="shared" si="3"/>
        <v/>
      </c>
      <c r="U386" s="38" t="str">
        <f t="shared" si="4"/>
        <v/>
      </c>
      <c r="V386" s="31" t="str">
        <f t="shared" si="5"/>
        <v/>
      </c>
      <c r="W386" s="39" t="str">
        <f>IFERROR(__xludf.DUMMYFUNCTION(" IF(Account!$F386&lt;&gt;"""", SPLIT(Account!$F386, "" ""), """")"),"")</f>
        <v/>
      </c>
      <c r="X386" s="40"/>
      <c r="Y386" s="40"/>
      <c r="Z386" s="40"/>
      <c r="AA386" s="40"/>
      <c r="AB386" s="40"/>
      <c r="AC386" s="40"/>
      <c r="AD386" s="40"/>
      <c r="AE386" s="40"/>
      <c r="AF386" s="40"/>
      <c r="AG386" s="40"/>
      <c r="AH386" s="40"/>
      <c r="AI386" s="40"/>
      <c r="AJ386" s="40"/>
      <c r="AK386" s="40"/>
    </row>
    <row r="387">
      <c r="A387" s="10"/>
      <c r="B387" s="10"/>
      <c r="C387" s="10"/>
      <c r="D387" s="10"/>
      <c r="E387" s="10"/>
      <c r="F387" s="12"/>
      <c r="G387" s="300"/>
      <c r="H387" s="10"/>
      <c r="I387" s="10"/>
      <c r="J387" s="10"/>
      <c r="K387" s="10"/>
      <c r="L387" s="12"/>
      <c r="M387" s="29" t="str">
        <f t="shared" si="1"/>
        <v/>
      </c>
      <c r="N387" s="31" t="str">
        <f>IFERROR(__xludf.DUMMYFUNCTION("IF(Account!$F387&lt;&gt;"""", VALUE(REGEXREPLACE($I387, ""\,"", ""."")), """")"),"")</f>
        <v/>
      </c>
      <c r="O387" s="33" t="str">
        <f>IF(Account!$F387&lt;&gt;"", DATEVALUE(MID($A387,4,3) &amp; LEFT($A387,3) &amp; RIGHT($A387,4)) + TIMEVALUE($B387), "")</f>
        <v/>
      </c>
      <c r="P387" s="34" t="str">
        <f>IF(Account!$F387&lt;&gt;"", DATEVALUE(MID($C387,4,3) &amp; LEFT($C387,3) &amp; RIGHT($C387,4)), "")</f>
        <v/>
      </c>
      <c r="Q387" s="35" t="str">
        <f t="array" ref="Q387">IF($R387&lt;&gt;"",IFERROR(INDEX(Investment!$A:$A,MATCH($R387,Investment!$H:$H,0))),)</f>
        <v/>
      </c>
      <c r="R387" s="36" t="str">
        <f t="array" ref="R387">IF(AND($Y387="change",$H387="EUR"),IF(AND($AA387="Crédit",$O387=$O388),$R388,IF(AND($AA387="Débit",$O387=$O386),$R386)),IF(OR(AND(OR($E387&lt;&gt;"",$M387=""),$N387&lt;&gt;0),$A387=""),IFERROR(INDEX(Investment!$H:$H,MATCH($E387,Investment!$F:$F,0))),IFERROR(INDEX($R388:$R1119,MATCH(SUBSTITUTE($I387,"-","",1),$K388:$K1119,0)),INDEX($R388:$R1119,MATCH($K387,$K388:$K1119,0)))))</f>
        <v/>
      </c>
      <c r="S387" s="35" t="str">
        <f t="shared" si="2"/>
        <v/>
      </c>
      <c r="T387" s="37" t="str">
        <f t="shared" si="3"/>
        <v/>
      </c>
      <c r="U387" s="38" t="str">
        <f t="shared" si="4"/>
        <v/>
      </c>
      <c r="V387" s="31" t="str">
        <f t="shared" si="5"/>
        <v/>
      </c>
      <c r="W387" s="39" t="str">
        <f>IFERROR(__xludf.DUMMYFUNCTION(" IF(Account!$F387&lt;&gt;"""", SPLIT(Account!$F387, "" ""), """")"),"")</f>
        <v/>
      </c>
      <c r="X387" s="40"/>
      <c r="Y387" s="40"/>
      <c r="Z387" s="40"/>
      <c r="AA387" s="40"/>
      <c r="AB387" s="40"/>
      <c r="AC387" s="40"/>
      <c r="AD387" s="40"/>
      <c r="AE387" s="40"/>
      <c r="AF387" s="40"/>
      <c r="AG387" s="40"/>
      <c r="AH387" s="40"/>
      <c r="AI387" s="40"/>
      <c r="AJ387" s="40"/>
      <c r="AK387" s="40"/>
    </row>
    <row r="388">
      <c r="A388" s="10"/>
      <c r="B388" s="10"/>
      <c r="C388" s="10"/>
      <c r="D388" s="10"/>
      <c r="E388" s="10"/>
      <c r="F388" s="12"/>
      <c r="G388" s="300"/>
      <c r="H388" s="10"/>
      <c r="I388" s="10"/>
      <c r="J388" s="10"/>
      <c r="K388" s="10"/>
      <c r="L388" s="12"/>
      <c r="M388" s="29" t="str">
        <f t="shared" si="1"/>
        <v/>
      </c>
      <c r="N388" s="31" t="str">
        <f>IFERROR(__xludf.DUMMYFUNCTION("IF(Account!$F388&lt;&gt;"""", VALUE(REGEXREPLACE($I388, ""\,"", ""."")), """")"),"")</f>
        <v/>
      </c>
      <c r="O388" s="33" t="str">
        <f>IF(Account!$F388&lt;&gt;"", DATEVALUE(MID($A388,4,3) &amp; LEFT($A388,3) &amp; RIGHT($A388,4)) + TIMEVALUE($B388), "")</f>
        <v/>
      </c>
      <c r="P388" s="34" t="str">
        <f>IF(Account!$F388&lt;&gt;"", DATEVALUE(MID($C388,4,3) &amp; LEFT($C388,3) &amp; RIGHT($C388,4)), "")</f>
        <v/>
      </c>
      <c r="Q388" s="35" t="str">
        <f t="array" ref="Q388">IF($R388&lt;&gt;"",IFERROR(INDEX(Investment!$A:$A,MATCH($R388,Investment!$H:$H,0))),)</f>
        <v/>
      </c>
      <c r="R388" s="36" t="str">
        <f t="array" ref="R388">IF(AND($Y388="change",$H388="EUR"),IF(AND($AA388="Crédit",$O388=$O389),$R389,IF(AND($AA388="Débit",$O388=$O387),$R387)),IF(OR(AND(OR($E388&lt;&gt;"",$M388=""),$N388&lt;&gt;0),$A388=""),IFERROR(INDEX(Investment!$H:$H,MATCH($E388,Investment!$F:$F,0))),IFERROR(INDEX($R389:$R1119,MATCH(SUBSTITUTE($I388,"-","",1),$K389:$K1119,0)),INDEX($R389:$R1119,MATCH($K388,$K389:$K1119,0)))))</f>
        <v/>
      </c>
      <c r="S388" s="35" t="str">
        <f t="shared" si="2"/>
        <v/>
      </c>
      <c r="T388" s="37" t="str">
        <f t="shared" si="3"/>
        <v/>
      </c>
      <c r="U388" s="38" t="str">
        <f t="shared" si="4"/>
        <v/>
      </c>
      <c r="V388" s="31" t="str">
        <f t="shared" si="5"/>
        <v/>
      </c>
      <c r="W388" s="39" t="str">
        <f>IFERROR(__xludf.DUMMYFUNCTION(" IF(Account!$F388&lt;&gt;"""", SPLIT(Account!$F388, "" ""), """")"),"")</f>
        <v/>
      </c>
      <c r="X388" s="40"/>
      <c r="Y388" s="40"/>
      <c r="Z388" s="40"/>
      <c r="AA388" s="40"/>
      <c r="AB388" s="40"/>
      <c r="AC388" s="40"/>
      <c r="AD388" s="40"/>
      <c r="AE388" s="40"/>
      <c r="AF388" s="40"/>
      <c r="AG388" s="40"/>
      <c r="AH388" s="40"/>
      <c r="AI388" s="40"/>
      <c r="AJ388" s="40"/>
      <c r="AK388" s="40"/>
    </row>
    <row r="389">
      <c r="A389" s="10"/>
      <c r="B389" s="10"/>
      <c r="C389" s="10"/>
      <c r="D389" s="10"/>
      <c r="E389" s="10"/>
      <c r="F389" s="12"/>
      <c r="G389" s="10"/>
      <c r="H389" s="10"/>
      <c r="I389" s="10"/>
      <c r="J389" s="10"/>
      <c r="K389" s="10"/>
      <c r="L389" s="12"/>
      <c r="M389" s="29" t="str">
        <f t="shared" si="1"/>
        <v/>
      </c>
      <c r="N389" s="31" t="str">
        <f>IFERROR(__xludf.DUMMYFUNCTION("IF(Account!$F389&lt;&gt;"""", VALUE(REGEXREPLACE($I389, ""\,"", ""."")), """")"),"")</f>
        <v/>
      </c>
      <c r="O389" s="33" t="str">
        <f>IF(Account!$F389&lt;&gt;"", DATEVALUE(MID($A389,4,3) &amp; LEFT($A389,3) &amp; RIGHT($A389,4)) + TIMEVALUE($B389), "")</f>
        <v/>
      </c>
      <c r="P389" s="34" t="str">
        <f>IF(Account!$F389&lt;&gt;"", DATEVALUE(MID($C389,4,3) &amp; LEFT($C389,3) &amp; RIGHT($C389,4)), "")</f>
        <v/>
      </c>
      <c r="Q389" s="35" t="str">
        <f t="array" ref="Q389">IF($R389&lt;&gt;"",IFERROR(INDEX(Investment!$A:$A,MATCH($R389,Investment!$H:$H,0))),)</f>
        <v/>
      </c>
      <c r="R389" s="36" t="str">
        <f t="array" ref="R389">IF(AND($Y389="change",$H389="EUR"),IF(AND($AA389="Crédit",$O389=$O390),$R390,IF(AND($AA389="Débit",$O389=$O388),$R388)),IF(OR(AND(OR($E389&lt;&gt;"",$M389=""),$N389&lt;&gt;0),$A389=""),IFERROR(INDEX(Investment!$H:$H,MATCH($E389,Investment!$F:$F,0))),IFERROR(INDEX($R390:$R1119,MATCH(SUBSTITUTE($I389,"-","",1),$K390:$K1119,0)),INDEX($R390:$R1119,MATCH($K389,$K390:$K1119,0)))))</f>
        <v/>
      </c>
      <c r="S389" s="35" t="str">
        <f t="shared" si="2"/>
        <v/>
      </c>
      <c r="T389" s="37" t="str">
        <f t="shared" si="3"/>
        <v/>
      </c>
      <c r="U389" s="38" t="str">
        <f t="shared" si="4"/>
        <v/>
      </c>
      <c r="V389" s="31" t="str">
        <f t="shared" si="5"/>
        <v/>
      </c>
      <c r="W389" s="39" t="str">
        <f>IFERROR(__xludf.DUMMYFUNCTION(" IF(Account!$F389&lt;&gt;"""", SPLIT(Account!$F389, "" ""), """")"),"")</f>
        <v/>
      </c>
      <c r="X389" s="40"/>
      <c r="Y389" s="40"/>
      <c r="Z389" s="40"/>
      <c r="AA389" s="40"/>
      <c r="AB389" s="40"/>
      <c r="AC389" s="40"/>
      <c r="AD389" s="40"/>
      <c r="AE389" s="40"/>
      <c r="AF389" s="40"/>
      <c r="AG389" s="40"/>
      <c r="AH389" s="40"/>
      <c r="AI389" s="40"/>
      <c r="AJ389" s="40"/>
      <c r="AK389" s="40"/>
    </row>
    <row r="390">
      <c r="A390" s="10"/>
      <c r="B390" s="10"/>
      <c r="C390" s="10"/>
      <c r="D390" s="10"/>
      <c r="E390" s="10"/>
      <c r="F390" s="12"/>
      <c r="G390" s="300"/>
      <c r="H390" s="10"/>
      <c r="I390" s="10"/>
      <c r="J390" s="10"/>
      <c r="K390" s="10"/>
      <c r="L390" s="12"/>
      <c r="M390" s="29" t="str">
        <f t="shared" si="1"/>
        <v/>
      </c>
      <c r="N390" s="31" t="str">
        <f>IFERROR(__xludf.DUMMYFUNCTION("IF(Account!$F390&lt;&gt;"""", VALUE(REGEXREPLACE($I390, ""\,"", ""."")), """")"),"")</f>
        <v/>
      </c>
      <c r="O390" s="33" t="str">
        <f>IF(Account!$F390&lt;&gt;"", DATEVALUE(MID($A390,4,3) &amp; LEFT($A390,3) &amp; RIGHT($A390,4)) + TIMEVALUE($B390), "")</f>
        <v/>
      </c>
      <c r="P390" s="34" t="str">
        <f>IF(Account!$F390&lt;&gt;"", DATEVALUE(MID($C390,4,3) &amp; LEFT($C390,3) &amp; RIGHT($C390,4)), "")</f>
        <v/>
      </c>
      <c r="Q390" s="35" t="str">
        <f t="array" ref="Q390">IF($R390&lt;&gt;"",IFERROR(INDEX(Investment!$A:$A,MATCH($R390,Investment!$H:$H,0))),)</f>
        <v/>
      </c>
      <c r="R390" s="36" t="str">
        <f t="array" ref="R390">IF(AND($Y390="change",$H390="EUR"),IF(AND($AA390="Crédit",$O390=$O391),$R391,IF(AND($AA390="Débit",$O390=$O389),$R389)),IF(OR(AND(OR($E390&lt;&gt;"",$M390=""),$N390&lt;&gt;0),$A390=""),IFERROR(INDEX(Investment!$H:$H,MATCH($E390,Investment!$F:$F,0))),IFERROR(INDEX($R391:$R1119,MATCH(SUBSTITUTE($I390,"-","",1),$K391:$K1119,0)),INDEX($R391:$R1119,MATCH($K390,$K391:$K1119,0)))))</f>
        <v/>
      </c>
      <c r="S390" s="35" t="str">
        <f t="shared" si="2"/>
        <v/>
      </c>
      <c r="T390" s="37" t="str">
        <f t="shared" si="3"/>
        <v/>
      </c>
      <c r="U390" s="38" t="str">
        <f t="shared" si="4"/>
        <v/>
      </c>
      <c r="V390" s="31" t="str">
        <f t="shared" si="5"/>
        <v/>
      </c>
      <c r="W390" s="39" t="str">
        <f>IFERROR(__xludf.DUMMYFUNCTION(" IF(Account!$F390&lt;&gt;"""", SPLIT(Account!$F390, "" ""), """")"),"")</f>
        <v/>
      </c>
      <c r="X390" s="40"/>
      <c r="Y390" s="40"/>
      <c r="Z390" s="40"/>
      <c r="AA390" s="40"/>
      <c r="AB390" s="40"/>
      <c r="AC390" s="40"/>
      <c r="AD390" s="40"/>
      <c r="AE390" s="40"/>
      <c r="AF390" s="40"/>
      <c r="AG390" s="40"/>
      <c r="AH390" s="40"/>
      <c r="AI390" s="40"/>
      <c r="AJ390" s="40"/>
      <c r="AK390" s="40"/>
    </row>
    <row r="391">
      <c r="A391" s="10"/>
      <c r="B391" s="10"/>
      <c r="C391" s="10"/>
      <c r="D391" s="10"/>
      <c r="E391" s="10"/>
      <c r="F391" s="12"/>
      <c r="G391" s="10"/>
      <c r="H391" s="10"/>
      <c r="I391" s="10"/>
      <c r="J391" s="10"/>
      <c r="K391" s="10"/>
      <c r="L391" s="12"/>
      <c r="M391" s="29" t="str">
        <f t="shared" si="1"/>
        <v/>
      </c>
      <c r="N391" s="31" t="str">
        <f>IFERROR(__xludf.DUMMYFUNCTION("IF(Account!$F391&lt;&gt;"""", VALUE(REGEXREPLACE($I391, ""\,"", ""."")), """")"),"")</f>
        <v/>
      </c>
      <c r="O391" s="33" t="str">
        <f>IF(Account!$F391&lt;&gt;"", DATEVALUE(MID($A391,4,3) &amp; LEFT($A391,3) &amp; RIGHT($A391,4)) + TIMEVALUE($B391), "")</f>
        <v/>
      </c>
      <c r="P391" s="34" t="str">
        <f>IF(Account!$F391&lt;&gt;"", DATEVALUE(MID($C391,4,3) &amp; LEFT($C391,3) &amp; RIGHT($C391,4)), "")</f>
        <v/>
      </c>
      <c r="Q391" s="35" t="str">
        <f t="array" ref="Q391">IF($R391&lt;&gt;"",IFERROR(INDEX(Investment!$A:$A,MATCH($R391,Investment!$H:$H,0))),)</f>
        <v/>
      </c>
      <c r="R391" s="36" t="str">
        <f t="array" ref="R391">IF(AND($Y391="change",$H391="EUR"),IF(AND($AA391="Crédit",$O391=$O392),$R392,IF(AND($AA391="Débit",$O391=$O390),$R390)),IF(OR(AND(OR($E391&lt;&gt;"",$M391=""),$N391&lt;&gt;0),$A391=""),IFERROR(INDEX(Investment!$H:$H,MATCH($E391,Investment!$F:$F,0))),IFERROR(INDEX($R392:$R1119,MATCH(SUBSTITUTE($I391,"-","",1),$K392:$K1119,0)),INDEX($R392:$R1119,MATCH($K391,$K392:$K1119,0)))))</f>
        <v/>
      </c>
      <c r="S391" s="35" t="str">
        <f t="shared" si="2"/>
        <v/>
      </c>
      <c r="T391" s="37" t="str">
        <f t="shared" si="3"/>
        <v/>
      </c>
      <c r="U391" s="38" t="str">
        <f t="shared" si="4"/>
        <v/>
      </c>
      <c r="V391" s="31" t="str">
        <f t="shared" si="5"/>
        <v/>
      </c>
      <c r="W391" s="39" t="str">
        <f>IFERROR(__xludf.DUMMYFUNCTION(" IF(Account!$F391&lt;&gt;"""", SPLIT(Account!$F391, "" ""), """")"),"")</f>
        <v/>
      </c>
      <c r="X391" s="40"/>
      <c r="Y391" s="40"/>
      <c r="Z391" s="40"/>
      <c r="AA391" s="40"/>
      <c r="AB391" s="40"/>
      <c r="AC391" s="40"/>
      <c r="AD391" s="40"/>
      <c r="AE391" s="40"/>
      <c r="AF391" s="40"/>
      <c r="AG391" s="40"/>
      <c r="AH391" s="40"/>
      <c r="AI391" s="40"/>
      <c r="AJ391" s="40"/>
      <c r="AK391" s="40"/>
    </row>
    <row r="392">
      <c r="A392" s="10"/>
      <c r="B392" s="10"/>
      <c r="C392" s="10"/>
      <c r="D392" s="10"/>
      <c r="E392" s="10"/>
      <c r="F392" s="12"/>
      <c r="G392" s="300"/>
      <c r="H392" s="10"/>
      <c r="I392" s="10"/>
      <c r="J392" s="10"/>
      <c r="K392" s="10"/>
      <c r="L392" s="12"/>
      <c r="M392" s="29" t="str">
        <f t="shared" si="1"/>
        <v/>
      </c>
      <c r="N392" s="31" t="str">
        <f>IFERROR(__xludf.DUMMYFUNCTION("IF(Account!$F392&lt;&gt;"""", VALUE(REGEXREPLACE($I392, ""\,"", ""."")), """")"),"")</f>
        <v/>
      </c>
      <c r="O392" s="33" t="str">
        <f>IF(Account!$F392&lt;&gt;"", DATEVALUE(MID($A392,4,3) &amp; LEFT($A392,3) &amp; RIGHT($A392,4)) + TIMEVALUE($B392), "")</f>
        <v/>
      </c>
      <c r="P392" s="34" t="str">
        <f>IF(Account!$F392&lt;&gt;"", DATEVALUE(MID($C392,4,3) &amp; LEFT($C392,3) &amp; RIGHT($C392,4)), "")</f>
        <v/>
      </c>
      <c r="Q392" s="35" t="str">
        <f t="array" ref="Q392">IF($R392&lt;&gt;"",IFERROR(INDEX(Investment!$A:$A,MATCH($R392,Investment!$H:$H,0))),)</f>
        <v/>
      </c>
      <c r="R392" s="36" t="str">
        <f t="array" ref="R392">IF(AND($Y392="change",$H392="EUR"),IF(AND($AA392="Crédit",$O392=$O393),$R393,IF(AND($AA392="Débit",$O392=$O391),$R391)),IF(OR(AND(OR($E392&lt;&gt;"",$M392=""),$N392&lt;&gt;0),$A392=""),IFERROR(INDEX(Investment!$H:$H,MATCH($E392,Investment!$F:$F,0))),IFERROR(INDEX($R393:$R1119,MATCH(SUBSTITUTE($I392,"-","",1),$K393:$K1119,0)),INDEX($R393:$R1119,MATCH($K392,$K393:$K1119,0)))))</f>
        <v/>
      </c>
      <c r="S392" s="35" t="str">
        <f t="shared" si="2"/>
        <v/>
      </c>
      <c r="T392" s="37" t="str">
        <f t="shared" si="3"/>
        <v/>
      </c>
      <c r="U392" s="38" t="str">
        <f t="shared" si="4"/>
        <v/>
      </c>
      <c r="V392" s="31" t="str">
        <f t="shared" si="5"/>
        <v/>
      </c>
      <c r="W392" s="39" t="str">
        <f>IFERROR(__xludf.DUMMYFUNCTION(" IF(Account!$F392&lt;&gt;"""", SPLIT(Account!$F392, "" ""), """")"),"")</f>
        <v/>
      </c>
      <c r="X392" s="40"/>
      <c r="Y392" s="40"/>
      <c r="Z392" s="40"/>
      <c r="AA392" s="40"/>
      <c r="AB392" s="40"/>
      <c r="AC392" s="40"/>
      <c r="AD392" s="40"/>
      <c r="AE392" s="40"/>
      <c r="AF392" s="40"/>
      <c r="AG392" s="40"/>
      <c r="AH392" s="40"/>
      <c r="AI392" s="40"/>
      <c r="AJ392" s="40"/>
      <c r="AK392" s="40"/>
    </row>
    <row r="393">
      <c r="A393" s="10"/>
      <c r="B393" s="10"/>
      <c r="C393" s="10"/>
      <c r="D393" s="10"/>
      <c r="E393" s="10"/>
      <c r="F393" s="12"/>
      <c r="G393" s="300"/>
      <c r="H393" s="10"/>
      <c r="I393" s="10"/>
      <c r="J393" s="10"/>
      <c r="K393" s="10"/>
      <c r="L393" s="12"/>
      <c r="M393" s="29" t="str">
        <f t="shared" si="1"/>
        <v/>
      </c>
      <c r="N393" s="31" t="str">
        <f>IFERROR(__xludf.DUMMYFUNCTION("IF(Account!$F393&lt;&gt;"""", VALUE(REGEXREPLACE($I393, ""\,"", ""."")), """")"),"")</f>
        <v/>
      </c>
      <c r="O393" s="33" t="str">
        <f>IF(Account!$F393&lt;&gt;"", DATEVALUE(MID($A393,4,3) &amp; LEFT($A393,3) &amp; RIGHT($A393,4)) + TIMEVALUE($B393), "")</f>
        <v/>
      </c>
      <c r="P393" s="34" t="str">
        <f>IF(Account!$F393&lt;&gt;"", DATEVALUE(MID($C393,4,3) &amp; LEFT($C393,3) &amp; RIGHT($C393,4)), "")</f>
        <v/>
      </c>
      <c r="Q393" s="35" t="str">
        <f t="array" ref="Q393">IF($R393&lt;&gt;"",IFERROR(INDEX(Investment!$A:$A,MATCH($R393,Investment!$H:$H,0))),)</f>
        <v/>
      </c>
      <c r="R393" s="36" t="str">
        <f t="array" ref="R393">IF(AND($Y393="change",$H393="EUR"),IF(AND($AA393="Crédit",$O393=$O394),$R394,IF(AND($AA393="Débit",$O393=$O392),$R392)),IF(OR(AND(OR($E393&lt;&gt;"",$M393=""),$N393&lt;&gt;0),$A393=""),IFERROR(INDEX(Investment!$H:$H,MATCH($E393,Investment!$F:$F,0))),IFERROR(INDEX($R394:$R1119,MATCH(SUBSTITUTE($I393,"-","",1),$K394:$K1119,0)),INDEX($R394:$R1119,MATCH($K393,$K394:$K1119,0)))))</f>
        <v/>
      </c>
      <c r="S393" s="35" t="str">
        <f t="shared" si="2"/>
        <v/>
      </c>
      <c r="T393" s="37" t="str">
        <f t="shared" si="3"/>
        <v/>
      </c>
      <c r="U393" s="38" t="str">
        <f t="shared" si="4"/>
        <v/>
      </c>
      <c r="V393" s="31" t="str">
        <f t="shared" si="5"/>
        <v/>
      </c>
      <c r="W393" s="39" t="str">
        <f>IFERROR(__xludf.DUMMYFUNCTION(" IF(Account!$F393&lt;&gt;"""", SPLIT(Account!$F393, "" ""), """")"),"")</f>
        <v/>
      </c>
      <c r="X393" s="40"/>
      <c r="Y393" s="40"/>
      <c r="Z393" s="40"/>
      <c r="AA393" s="40"/>
      <c r="AB393" s="40"/>
      <c r="AC393" s="40"/>
      <c r="AD393" s="40"/>
      <c r="AE393" s="40"/>
      <c r="AF393" s="40"/>
      <c r="AG393" s="40"/>
      <c r="AH393" s="40"/>
      <c r="AI393" s="40"/>
      <c r="AJ393" s="40"/>
      <c r="AK393" s="40"/>
    </row>
    <row r="394">
      <c r="A394" s="300"/>
      <c r="B394" s="300"/>
      <c r="C394" s="300"/>
      <c r="D394" s="300"/>
      <c r="E394" s="300"/>
      <c r="F394" s="12"/>
      <c r="G394" s="300"/>
      <c r="H394" s="300"/>
      <c r="I394" s="300"/>
      <c r="J394" s="300"/>
      <c r="K394" s="300"/>
      <c r="L394" s="329"/>
      <c r="M394" s="29" t="str">
        <f t="shared" si="1"/>
        <v/>
      </c>
      <c r="N394" s="31" t="str">
        <f>IFERROR(__xludf.DUMMYFUNCTION("IF(Account!$F394&lt;&gt;"""", VALUE(REGEXREPLACE($I394, ""\,"", ""."")), """")"),"")</f>
        <v/>
      </c>
      <c r="O394" s="33" t="str">
        <f>IF(Account!$F394&lt;&gt;"", DATEVALUE(MID($A394,4,3) &amp; LEFT($A394,3) &amp; RIGHT($A394,4)) + TIMEVALUE($B394), "")</f>
        <v/>
      </c>
      <c r="P394" s="34" t="str">
        <f>IF(Account!$F394&lt;&gt;"", DATEVALUE(MID($C394,4,3) &amp; LEFT($C394,3) &amp; RIGHT($C394,4)), "")</f>
        <v/>
      </c>
      <c r="Q394" s="35" t="str">
        <f t="array" ref="Q394">IF($R394&lt;&gt;"",IFERROR(INDEX(Investment!$A:$A,MATCH($R394,Investment!$H:$H,0))),)</f>
        <v/>
      </c>
      <c r="R394" s="36" t="str">
        <f t="array" ref="R394">IF(AND($Y394="change",$H394="EUR"),IF(AND($AA394="Crédit",$O394=$O395),$R395,IF(AND($AA394="Débit",$O394=$O393),$R393)),IF(OR(AND(OR($E394&lt;&gt;"",$M394=""),$N394&lt;&gt;0),$A394=""),IFERROR(INDEX(Investment!$H:$H,MATCH($E394,Investment!$F:$F,0))),IFERROR(INDEX($R395:$R1119,MATCH(SUBSTITUTE($I394,"-","",1),$K395:$K1119,0)),INDEX($R395:$R1119,MATCH($K394,$K395:$K1119,0)))))</f>
        <v/>
      </c>
      <c r="S394" s="35" t="str">
        <f t="shared" si="2"/>
        <v/>
      </c>
      <c r="T394" s="37" t="str">
        <f t="shared" si="3"/>
        <v/>
      </c>
      <c r="U394" s="38" t="str">
        <f t="shared" si="4"/>
        <v/>
      </c>
      <c r="V394" s="31" t="str">
        <f t="shared" si="5"/>
        <v/>
      </c>
      <c r="W394" s="39" t="str">
        <f>IFERROR(__xludf.DUMMYFUNCTION(" IF(Account!$F394&lt;&gt;"""", SPLIT(Account!$F394, "" ""), """")"),"")</f>
        <v/>
      </c>
      <c r="X394" s="40"/>
      <c r="Y394" s="40"/>
      <c r="Z394" s="40"/>
      <c r="AA394" s="40"/>
      <c r="AB394" s="40"/>
      <c r="AC394" s="40"/>
      <c r="AD394" s="40"/>
      <c r="AE394" s="40"/>
      <c r="AF394" s="40"/>
      <c r="AG394" s="40"/>
      <c r="AH394" s="40"/>
      <c r="AI394" s="40"/>
      <c r="AJ394" s="40"/>
      <c r="AK394" s="40"/>
    </row>
    <row r="395">
      <c r="A395" s="10"/>
      <c r="B395" s="10"/>
      <c r="C395" s="10"/>
      <c r="D395" s="10"/>
      <c r="E395" s="10"/>
      <c r="F395" s="12"/>
      <c r="G395" s="300"/>
      <c r="H395" s="10"/>
      <c r="I395" s="10"/>
      <c r="J395" s="10"/>
      <c r="K395" s="10"/>
      <c r="L395" s="12"/>
      <c r="M395" s="29" t="str">
        <f t="shared" si="1"/>
        <v/>
      </c>
      <c r="N395" s="31" t="str">
        <f>IFERROR(__xludf.DUMMYFUNCTION("IF(Account!$F395&lt;&gt;"""", VALUE(REGEXREPLACE($I395, ""\,"", ""."")), """")"),"")</f>
        <v/>
      </c>
      <c r="O395" s="33" t="str">
        <f>IF(Account!$F395&lt;&gt;"", DATEVALUE(MID($A395,4,3) &amp; LEFT($A395,3) &amp; RIGHT($A395,4)) + TIMEVALUE($B395), "")</f>
        <v/>
      </c>
      <c r="P395" s="34" t="str">
        <f>IF(Account!$F395&lt;&gt;"", DATEVALUE(MID($C395,4,3) &amp; LEFT($C395,3) &amp; RIGHT($C395,4)), "")</f>
        <v/>
      </c>
      <c r="Q395" s="35" t="str">
        <f t="array" ref="Q395">IF($R395&lt;&gt;"",IFERROR(INDEX(Investment!$A:$A,MATCH($R395,Investment!$H:$H,0))),)</f>
        <v/>
      </c>
      <c r="R395" s="36" t="str">
        <f t="array" ref="R395">IF(AND($Y395="change",$H395="EUR"),IF(AND($AA395="Crédit",$O395=$O396),$R396,IF(AND($AA395="Débit",$O395=$O394),$R394)),IF(OR(AND(OR($E395&lt;&gt;"",$M395=""),$N395&lt;&gt;0),$A395=""),IFERROR(INDEX(Investment!$H:$H,MATCH($E395,Investment!$F:$F,0))),IFERROR(INDEX($R396:$R1119,MATCH(SUBSTITUTE($I395,"-","",1),$K396:$K1119,0)),INDEX($R396:$R1119,MATCH($K395,$K396:$K1119,0)))))</f>
        <v/>
      </c>
      <c r="S395" s="35" t="str">
        <f t="shared" si="2"/>
        <v/>
      </c>
      <c r="T395" s="37" t="str">
        <f t="shared" si="3"/>
        <v/>
      </c>
      <c r="U395" s="38" t="str">
        <f t="shared" si="4"/>
        <v/>
      </c>
      <c r="V395" s="31" t="str">
        <f t="shared" si="5"/>
        <v/>
      </c>
      <c r="W395" s="39" t="str">
        <f>IFERROR(__xludf.DUMMYFUNCTION(" IF(Account!$F395&lt;&gt;"""", SPLIT(Account!$F395, "" ""), """")"),"")</f>
        <v/>
      </c>
      <c r="X395" s="40"/>
      <c r="Y395" s="40"/>
      <c r="Z395" s="40"/>
      <c r="AA395" s="40"/>
      <c r="AB395" s="40"/>
      <c r="AC395" s="40"/>
      <c r="AD395" s="40"/>
      <c r="AE395" s="40"/>
      <c r="AF395" s="40"/>
      <c r="AG395" s="40"/>
      <c r="AH395" s="40"/>
      <c r="AI395" s="40"/>
      <c r="AJ395" s="40"/>
      <c r="AK395" s="40"/>
    </row>
    <row r="396">
      <c r="A396" s="10"/>
      <c r="B396" s="10"/>
      <c r="C396" s="10"/>
      <c r="D396" s="10"/>
      <c r="E396" s="10"/>
      <c r="F396" s="12"/>
      <c r="G396" s="10"/>
      <c r="H396" s="10"/>
      <c r="I396" s="10"/>
      <c r="J396" s="10"/>
      <c r="K396" s="10"/>
      <c r="L396" s="12"/>
      <c r="M396" s="29" t="str">
        <f t="shared" si="1"/>
        <v/>
      </c>
      <c r="N396" s="31" t="str">
        <f>IFERROR(__xludf.DUMMYFUNCTION("IF(Account!$F396&lt;&gt;"""", VALUE(REGEXREPLACE($I396, ""\,"", ""."")), """")"),"")</f>
        <v/>
      </c>
      <c r="O396" s="33" t="str">
        <f>IF(Account!$F396&lt;&gt;"", DATEVALUE(MID($A396,4,3) &amp; LEFT($A396,3) &amp; RIGHT($A396,4)) + TIMEVALUE($B396), "")</f>
        <v/>
      </c>
      <c r="P396" s="34" t="str">
        <f>IF(Account!$F396&lt;&gt;"", DATEVALUE(MID($C396,4,3) &amp; LEFT($C396,3) &amp; RIGHT($C396,4)), "")</f>
        <v/>
      </c>
      <c r="Q396" s="35" t="str">
        <f t="array" ref="Q396">IF($R396&lt;&gt;"",IFERROR(INDEX(Investment!$A:$A,MATCH($R396,Investment!$H:$H,0))),)</f>
        <v/>
      </c>
      <c r="R396" s="36" t="str">
        <f t="array" ref="R396">IF(AND($Y396="change",$H396="EUR"),IF(AND($AA396="Crédit",$O396=$O397),$R397,IF(AND($AA396="Débit",$O396=$O395),$R395)),IF(OR(AND(OR($E396&lt;&gt;"",$M396=""),$N396&lt;&gt;0),$A396=""),IFERROR(INDEX(Investment!$H:$H,MATCH($E396,Investment!$F:$F,0))),IFERROR(INDEX($R397:$R1119,MATCH(SUBSTITUTE($I396,"-","",1),$K397:$K1119,0)),INDEX($R397:$R1119,MATCH($K396,$K397:$K1119,0)))))</f>
        <v/>
      </c>
      <c r="S396" s="35" t="str">
        <f t="shared" si="2"/>
        <v/>
      </c>
      <c r="T396" s="37" t="str">
        <f t="shared" si="3"/>
        <v/>
      </c>
      <c r="U396" s="38" t="str">
        <f t="shared" si="4"/>
        <v/>
      </c>
      <c r="V396" s="31" t="str">
        <f t="shared" si="5"/>
        <v/>
      </c>
      <c r="W396" s="39" t="str">
        <f>IFERROR(__xludf.DUMMYFUNCTION(" IF(Account!$F396&lt;&gt;"""", SPLIT(Account!$F396, "" ""), """")"),"")</f>
        <v/>
      </c>
      <c r="X396" s="40"/>
      <c r="Y396" s="40"/>
      <c r="Z396" s="40"/>
      <c r="AA396" s="40"/>
      <c r="AB396" s="40"/>
      <c r="AC396" s="40"/>
      <c r="AD396" s="40"/>
      <c r="AE396" s="40"/>
      <c r="AF396" s="40"/>
      <c r="AG396" s="40"/>
      <c r="AH396" s="40"/>
      <c r="AI396" s="40"/>
      <c r="AJ396" s="40"/>
      <c r="AK396" s="40"/>
    </row>
    <row r="397">
      <c r="A397" s="10"/>
      <c r="B397" s="10"/>
      <c r="C397" s="10"/>
      <c r="D397" s="10"/>
      <c r="E397" s="10"/>
      <c r="F397" s="12"/>
      <c r="G397" s="300"/>
      <c r="H397" s="10"/>
      <c r="I397" s="10"/>
      <c r="J397" s="10"/>
      <c r="K397" s="10"/>
      <c r="L397" s="12"/>
      <c r="M397" s="29" t="str">
        <f t="shared" si="1"/>
        <v/>
      </c>
      <c r="N397" s="31" t="str">
        <f>IFERROR(__xludf.DUMMYFUNCTION("IF(Account!$F397&lt;&gt;"""", VALUE(REGEXREPLACE($I397, ""\,"", ""."")), """")"),"")</f>
        <v/>
      </c>
      <c r="O397" s="33" t="str">
        <f>IF(Account!$F397&lt;&gt;"", DATEVALUE(MID($A397,4,3) &amp; LEFT($A397,3) &amp; RIGHT($A397,4)) + TIMEVALUE($B397), "")</f>
        <v/>
      </c>
      <c r="P397" s="34" t="str">
        <f>IF(Account!$F397&lt;&gt;"", DATEVALUE(MID($C397,4,3) &amp; LEFT($C397,3) &amp; RIGHT($C397,4)), "")</f>
        <v/>
      </c>
      <c r="Q397" s="35" t="str">
        <f t="array" ref="Q397">IF($R397&lt;&gt;"",IFERROR(INDEX(Investment!$A:$A,MATCH($R397,Investment!$H:$H,0))),)</f>
        <v/>
      </c>
      <c r="R397" s="36" t="str">
        <f t="array" ref="R397">IF(AND($Y397="change",$H397="EUR"),IF(AND($AA397="Crédit",$O397=$O398),$R398,IF(AND($AA397="Débit",$O397=$O396),$R396)),IF(OR(AND(OR($E397&lt;&gt;"",$M397=""),$N397&lt;&gt;0),$A397=""),IFERROR(INDEX(Investment!$H:$H,MATCH($E397,Investment!$F:$F,0))),IFERROR(INDEX($R398:$R1119,MATCH(SUBSTITUTE($I397,"-","",1),$K398:$K1119,0)),INDEX($R398:$R1119,MATCH($K397,$K398:$K1119,0)))))</f>
        <v/>
      </c>
      <c r="S397" s="35" t="str">
        <f t="shared" si="2"/>
        <v/>
      </c>
      <c r="T397" s="37" t="str">
        <f t="shared" si="3"/>
        <v/>
      </c>
      <c r="U397" s="38" t="str">
        <f t="shared" si="4"/>
        <v/>
      </c>
      <c r="V397" s="31" t="str">
        <f t="shared" si="5"/>
        <v/>
      </c>
      <c r="W397" s="39" t="str">
        <f>IFERROR(__xludf.DUMMYFUNCTION(" IF(Account!$F397&lt;&gt;"""", SPLIT(Account!$F397, "" ""), """")"),"")</f>
        <v/>
      </c>
      <c r="X397" s="40"/>
      <c r="Y397" s="40"/>
      <c r="Z397" s="40"/>
      <c r="AA397" s="40"/>
      <c r="AB397" s="40"/>
      <c r="AC397" s="40"/>
      <c r="AD397" s="40"/>
      <c r="AE397" s="40"/>
      <c r="AF397" s="40"/>
      <c r="AG397" s="40"/>
      <c r="AH397" s="40"/>
      <c r="AI397" s="40"/>
      <c r="AJ397" s="40"/>
      <c r="AK397" s="40"/>
    </row>
    <row r="398">
      <c r="A398" s="10"/>
      <c r="B398" s="10"/>
      <c r="C398" s="10"/>
      <c r="D398" s="10"/>
      <c r="E398" s="10"/>
      <c r="F398" s="12"/>
      <c r="G398" s="10"/>
      <c r="H398" s="10"/>
      <c r="I398" s="10"/>
      <c r="J398" s="10"/>
      <c r="K398" s="10"/>
      <c r="L398" s="12"/>
      <c r="M398" s="29" t="str">
        <f t="shared" si="1"/>
        <v/>
      </c>
      <c r="N398" s="31" t="str">
        <f>IFERROR(__xludf.DUMMYFUNCTION("IF(Account!$F398&lt;&gt;"""", VALUE(REGEXREPLACE($I398, ""\,"", ""."")), """")"),"")</f>
        <v/>
      </c>
      <c r="O398" s="33" t="str">
        <f>IF(Account!$F398&lt;&gt;"", DATEVALUE(MID($A398,4,3) &amp; LEFT($A398,3) &amp; RIGHT($A398,4)) + TIMEVALUE($B398), "")</f>
        <v/>
      </c>
      <c r="P398" s="34" t="str">
        <f>IF(Account!$F398&lt;&gt;"", DATEVALUE(MID($C398,4,3) &amp; LEFT($C398,3) &amp; RIGHT($C398,4)), "")</f>
        <v/>
      </c>
      <c r="Q398" s="35" t="str">
        <f t="array" ref="Q398">IF($R398&lt;&gt;"",IFERROR(INDEX(Investment!$A:$A,MATCH($R398,Investment!$H:$H,0))),)</f>
        <v/>
      </c>
      <c r="R398" s="36" t="str">
        <f t="array" ref="R398">IF(AND($Y398="change",$H398="EUR"),IF(AND($AA398="Crédit",$O398=$O399),$R399,IF(AND($AA398="Débit",$O398=$O397),$R397)),IF(OR(AND(OR($E398&lt;&gt;"",$M398=""),$N398&lt;&gt;0),$A398=""),IFERROR(INDEX(Investment!$H:$H,MATCH($E398,Investment!$F:$F,0))),IFERROR(INDEX($R399:$R1119,MATCH(SUBSTITUTE($I398,"-","",1),$K399:$K1119,0)),INDEX($R399:$R1119,MATCH($K398,$K399:$K1119,0)))))</f>
        <v/>
      </c>
      <c r="S398" s="35" t="str">
        <f t="shared" si="2"/>
        <v/>
      </c>
      <c r="T398" s="37" t="str">
        <f t="shared" si="3"/>
        <v/>
      </c>
      <c r="U398" s="38" t="str">
        <f t="shared" si="4"/>
        <v/>
      </c>
      <c r="V398" s="31" t="str">
        <f t="shared" si="5"/>
        <v/>
      </c>
      <c r="W398" s="39" t="str">
        <f>IFERROR(__xludf.DUMMYFUNCTION(" IF(Account!$F398&lt;&gt;"""", SPLIT(Account!$F398, "" ""), """")"),"")</f>
        <v/>
      </c>
      <c r="X398" s="40"/>
      <c r="Y398" s="40"/>
      <c r="Z398" s="40"/>
      <c r="AA398" s="40"/>
      <c r="AB398" s="40"/>
      <c r="AC398" s="40"/>
      <c r="AD398" s="40"/>
      <c r="AE398" s="40"/>
      <c r="AF398" s="40"/>
      <c r="AG398" s="40"/>
      <c r="AH398" s="40"/>
      <c r="AI398" s="40"/>
      <c r="AJ398" s="40"/>
      <c r="AK398" s="40"/>
    </row>
    <row r="399">
      <c r="A399" s="10"/>
      <c r="B399" s="10"/>
      <c r="C399" s="10"/>
      <c r="D399" s="10"/>
      <c r="E399" s="10"/>
      <c r="F399" s="12"/>
      <c r="G399" s="300"/>
      <c r="H399" s="10"/>
      <c r="I399" s="10"/>
      <c r="J399" s="10"/>
      <c r="K399" s="10"/>
      <c r="L399" s="12"/>
      <c r="M399" s="29" t="str">
        <f t="shared" si="1"/>
        <v/>
      </c>
      <c r="N399" s="31" t="str">
        <f>IFERROR(__xludf.DUMMYFUNCTION("IF(Account!$F399&lt;&gt;"""", VALUE(REGEXREPLACE($I399, ""\,"", ""."")), """")"),"")</f>
        <v/>
      </c>
      <c r="O399" s="33" t="str">
        <f>IF(Account!$F399&lt;&gt;"", DATEVALUE(MID($A399,4,3) &amp; LEFT($A399,3) &amp; RIGHT($A399,4)) + TIMEVALUE($B399), "")</f>
        <v/>
      </c>
      <c r="P399" s="34" t="str">
        <f>IF(Account!$F399&lt;&gt;"", DATEVALUE(MID($C399,4,3) &amp; LEFT($C399,3) &amp; RIGHT($C399,4)), "")</f>
        <v/>
      </c>
      <c r="Q399" s="35" t="str">
        <f t="array" ref="Q399">IF($R399&lt;&gt;"",IFERROR(INDEX(Investment!$A:$A,MATCH($R399,Investment!$H:$H,0))),)</f>
        <v/>
      </c>
      <c r="R399" s="36" t="str">
        <f t="array" ref="R399">IF(AND($Y399="change",$H399="EUR"),IF(AND($AA399="Crédit",$O399=$O400),$R400,IF(AND($AA399="Débit",$O399=$O398),$R398)),IF(OR(AND(OR($E399&lt;&gt;"",$M399=""),$N399&lt;&gt;0),$A399=""),IFERROR(INDEX(Investment!$H:$H,MATCH($E399,Investment!$F:$F,0))),IFERROR(INDEX($R400:$R1119,MATCH(SUBSTITUTE($I399,"-","",1),$K400:$K1119,0)),INDEX($R400:$R1119,MATCH($K399,$K400:$K1119,0)))))</f>
        <v/>
      </c>
      <c r="S399" s="35" t="str">
        <f t="shared" si="2"/>
        <v/>
      </c>
      <c r="T399" s="37" t="str">
        <f t="shared" si="3"/>
        <v/>
      </c>
      <c r="U399" s="38" t="str">
        <f t="shared" si="4"/>
        <v/>
      </c>
      <c r="V399" s="31" t="str">
        <f t="shared" si="5"/>
        <v/>
      </c>
      <c r="W399" s="39" t="str">
        <f>IFERROR(__xludf.DUMMYFUNCTION(" IF(Account!$F399&lt;&gt;"""", SPLIT(Account!$F399, "" ""), """")"),"")</f>
        <v/>
      </c>
      <c r="X399" s="40"/>
      <c r="Y399" s="40"/>
      <c r="Z399" s="40"/>
      <c r="AA399" s="40"/>
      <c r="AB399" s="40"/>
      <c r="AC399" s="40"/>
      <c r="AD399" s="40"/>
      <c r="AE399" s="40"/>
      <c r="AF399" s="40"/>
      <c r="AG399" s="40"/>
      <c r="AH399" s="40"/>
      <c r="AI399" s="40"/>
      <c r="AJ399" s="40"/>
      <c r="AK399" s="40"/>
    </row>
    <row r="400">
      <c r="A400" s="10"/>
      <c r="B400" s="10"/>
      <c r="C400" s="10"/>
      <c r="D400" s="10"/>
      <c r="E400" s="10"/>
      <c r="F400" s="12"/>
      <c r="G400" s="10"/>
      <c r="H400" s="10"/>
      <c r="I400" s="10"/>
      <c r="J400" s="10"/>
      <c r="K400" s="10"/>
      <c r="L400" s="12"/>
      <c r="M400" s="29" t="str">
        <f t="shared" si="1"/>
        <v/>
      </c>
      <c r="N400" s="31" t="str">
        <f>IFERROR(__xludf.DUMMYFUNCTION("IF(Account!$F400&lt;&gt;"""", VALUE(REGEXREPLACE($I400, ""\,"", ""."")), """")"),"")</f>
        <v/>
      </c>
      <c r="O400" s="33" t="str">
        <f>IF(Account!$F400&lt;&gt;"", DATEVALUE(MID($A400,4,3) &amp; LEFT($A400,3) &amp; RIGHT($A400,4)) + TIMEVALUE($B400), "")</f>
        <v/>
      </c>
      <c r="P400" s="34" t="str">
        <f>IF(Account!$F400&lt;&gt;"", DATEVALUE(MID($C400,4,3) &amp; LEFT($C400,3) &amp; RIGHT($C400,4)), "")</f>
        <v/>
      </c>
      <c r="Q400" s="35" t="str">
        <f t="array" ref="Q400">IF($R400&lt;&gt;"",IFERROR(INDEX(Investment!$A:$A,MATCH($R400,Investment!$H:$H,0))),)</f>
        <v/>
      </c>
      <c r="R400" s="36" t="str">
        <f t="array" ref="R400">IF(AND($Y400="change",$H400="EUR"),IF(AND($AA400="Crédit",$O400=$O401),$R401,IF(AND($AA400="Débit",$O400=$O399),$R399)),IF(OR(AND(OR($E400&lt;&gt;"",$M400=""),$N400&lt;&gt;0),$A400=""),IFERROR(INDEX(Investment!$H:$H,MATCH($E400,Investment!$F:$F,0))),IFERROR(INDEX($R401:$R1119,MATCH(SUBSTITUTE($I400,"-","",1),$K401:$K1119,0)),INDEX($R401:$R1119,MATCH($K400,$K401:$K1119,0)))))</f>
        <v/>
      </c>
      <c r="S400" s="35" t="str">
        <f t="shared" si="2"/>
        <v/>
      </c>
      <c r="T400" s="37" t="str">
        <f t="shared" si="3"/>
        <v/>
      </c>
      <c r="U400" s="38" t="str">
        <f t="shared" si="4"/>
        <v/>
      </c>
      <c r="V400" s="31" t="str">
        <f t="shared" si="5"/>
        <v/>
      </c>
      <c r="W400" s="39" t="str">
        <f>IFERROR(__xludf.DUMMYFUNCTION(" IF(Account!$F400&lt;&gt;"""", SPLIT(Account!$F400, "" ""), """")"),"")</f>
        <v/>
      </c>
      <c r="X400" s="40"/>
      <c r="Y400" s="40"/>
      <c r="Z400" s="40"/>
      <c r="AA400" s="40"/>
      <c r="AB400" s="40"/>
      <c r="AC400" s="40"/>
      <c r="AD400" s="40"/>
      <c r="AE400" s="40"/>
      <c r="AF400" s="40"/>
      <c r="AG400" s="40"/>
      <c r="AH400" s="40"/>
      <c r="AI400" s="40"/>
      <c r="AJ400" s="40"/>
      <c r="AK400" s="40"/>
    </row>
    <row r="401">
      <c r="A401" s="10"/>
      <c r="B401" s="10"/>
      <c r="C401" s="10"/>
      <c r="D401" s="10"/>
      <c r="E401" s="10"/>
      <c r="F401" s="12"/>
      <c r="G401" s="300"/>
      <c r="H401" s="10"/>
      <c r="I401" s="10"/>
      <c r="J401" s="10"/>
      <c r="K401" s="10"/>
      <c r="L401" s="12"/>
      <c r="M401" s="29" t="str">
        <f t="shared" si="1"/>
        <v/>
      </c>
      <c r="N401" s="31" t="str">
        <f>IFERROR(__xludf.DUMMYFUNCTION("IF(Account!$F401&lt;&gt;"""", VALUE(REGEXREPLACE($I401, ""\,"", ""."")), """")"),"")</f>
        <v/>
      </c>
      <c r="O401" s="33" t="str">
        <f>IF(Account!$F401&lt;&gt;"", DATEVALUE(MID($A401,4,3) &amp; LEFT($A401,3) &amp; RIGHT($A401,4)) + TIMEVALUE($B401), "")</f>
        <v/>
      </c>
      <c r="P401" s="34" t="str">
        <f>IF(Account!$F401&lt;&gt;"", DATEVALUE(MID($C401,4,3) &amp; LEFT($C401,3) &amp; RIGHT($C401,4)), "")</f>
        <v/>
      </c>
      <c r="Q401" s="35" t="str">
        <f t="array" ref="Q401">IF($R401&lt;&gt;"",IFERROR(INDEX(Investment!$A:$A,MATCH($R401,Investment!$H:$H,0))),)</f>
        <v/>
      </c>
      <c r="R401" s="36" t="str">
        <f t="array" ref="R401">IF(AND($Y401="change",$H401="EUR"),IF(AND($AA401="Crédit",$O401=$O402),$R402,IF(AND($AA401="Débit",$O401=$O400),$R400)),IF(OR(AND(OR($E401&lt;&gt;"",$M401=""),$N401&lt;&gt;0),$A401=""),IFERROR(INDEX(Investment!$H:$H,MATCH($E401,Investment!$F:$F,0))),IFERROR(INDEX($R402:$R1119,MATCH(SUBSTITUTE($I401,"-","",1),$K402:$K1119,0)),INDEX($R402:$R1119,MATCH($K401,$K402:$K1119,0)))))</f>
        <v/>
      </c>
      <c r="S401" s="35" t="str">
        <f t="shared" si="2"/>
        <v/>
      </c>
      <c r="T401" s="37" t="str">
        <f t="shared" si="3"/>
        <v/>
      </c>
      <c r="U401" s="38" t="str">
        <f t="shared" si="4"/>
        <v/>
      </c>
      <c r="V401" s="31" t="str">
        <f t="shared" si="5"/>
        <v/>
      </c>
      <c r="W401" s="39" t="str">
        <f>IFERROR(__xludf.DUMMYFUNCTION(" IF(Account!$F401&lt;&gt;"""", SPLIT(Account!$F401, "" ""), """")"),"")</f>
        <v/>
      </c>
      <c r="X401" s="40"/>
      <c r="Y401" s="40"/>
      <c r="Z401" s="40"/>
      <c r="AA401" s="40"/>
      <c r="AB401" s="40"/>
      <c r="AC401" s="40"/>
      <c r="AD401" s="40"/>
      <c r="AE401" s="40"/>
      <c r="AF401" s="40"/>
      <c r="AG401" s="40"/>
      <c r="AH401" s="40"/>
      <c r="AI401" s="40"/>
      <c r="AJ401" s="40"/>
      <c r="AK401" s="40"/>
    </row>
    <row r="402">
      <c r="A402" s="10"/>
      <c r="B402" s="10"/>
      <c r="C402" s="10"/>
      <c r="D402" s="10"/>
      <c r="E402" s="10"/>
      <c r="F402" s="12"/>
      <c r="G402" s="10"/>
      <c r="H402" s="10"/>
      <c r="I402" s="10"/>
      <c r="J402" s="10"/>
      <c r="K402" s="10"/>
      <c r="L402" s="12"/>
      <c r="M402" s="29" t="str">
        <f t="shared" si="1"/>
        <v/>
      </c>
      <c r="N402" s="31" t="str">
        <f>IFERROR(__xludf.DUMMYFUNCTION("IF(Account!$F402&lt;&gt;"""", VALUE(REGEXREPLACE($I402, ""\,"", ""."")), """")"),"")</f>
        <v/>
      </c>
      <c r="O402" s="33" t="str">
        <f>IF(Account!$F402&lt;&gt;"", DATEVALUE(MID($A402,4,3) &amp; LEFT($A402,3) &amp; RIGHT($A402,4)) + TIMEVALUE($B402), "")</f>
        <v/>
      </c>
      <c r="P402" s="34" t="str">
        <f>IF(Account!$F402&lt;&gt;"", DATEVALUE(MID($C402,4,3) &amp; LEFT($C402,3) &amp; RIGHT($C402,4)), "")</f>
        <v/>
      </c>
      <c r="Q402" s="35" t="str">
        <f t="array" ref="Q402">IF($R402&lt;&gt;"",IFERROR(INDEX(Investment!$A:$A,MATCH($R402,Investment!$H:$H,0))),)</f>
        <v/>
      </c>
      <c r="R402" s="36" t="str">
        <f t="array" ref="R402">IF(AND($Y402="change",$H402="EUR"),IF(AND($AA402="Crédit",$O402=$O403),$R403,IF(AND($AA402="Débit",$O402=$O401),$R401)),IF(OR(AND(OR($E402&lt;&gt;"",$M402=""),$N402&lt;&gt;0),$A402=""),IFERROR(INDEX(Investment!$H:$H,MATCH($E402,Investment!$F:$F,0))),IFERROR(INDEX($R403:$R1119,MATCH(SUBSTITUTE($I402,"-","",1),$K403:$K1119,0)),INDEX($R403:$R1119,MATCH($K402,$K403:$K1119,0)))))</f>
        <v/>
      </c>
      <c r="S402" s="35" t="str">
        <f t="shared" si="2"/>
        <v/>
      </c>
      <c r="T402" s="37" t="str">
        <f t="shared" si="3"/>
        <v/>
      </c>
      <c r="U402" s="38" t="str">
        <f t="shared" si="4"/>
        <v/>
      </c>
      <c r="V402" s="31" t="str">
        <f t="shared" si="5"/>
        <v/>
      </c>
      <c r="W402" s="39" t="str">
        <f>IFERROR(__xludf.DUMMYFUNCTION(" IF(Account!$F402&lt;&gt;"""", SPLIT(Account!$F402, "" ""), """")"),"")</f>
        <v/>
      </c>
      <c r="X402" s="40"/>
      <c r="Y402" s="40"/>
      <c r="Z402" s="40"/>
      <c r="AA402" s="40"/>
      <c r="AB402" s="40"/>
      <c r="AC402" s="40"/>
      <c r="AD402" s="40"/>
      <c r="AE402" s="40"/>
      <c r="AF402" s="40"/>
      <c r="AG402" s="40"/>
      <c r="AH402" s="40"/>
      <c r="AI402" s="40"/>
      <c r="AJ402" s="40"/>
      <c r="AK402" s="40"/>
    </row>
    <row r="403">
      <c r="A403" s="10"/>
      <c r="B403" s="10"/>
      <c r="C403" s="10"/>
      <c r="D403" s="10"/>
      <c r="E403" s="10"/>
      <c r="F403" s="12"/>
      <c r="G403" s="300"/>
      <c r="H403" s="10"/>
      <c r="I403" s="10"/>
      <c r="J403" s="10"/>
      <c r="K403" s="10"/>
      <c r="L403" s="12"/>
      <c r="M403" s="29" t="str">
        <f t="shared" si="1"/>
        <v/>
      </c>
      <c r="N403" s="31" t="str">
        <f>IFERROR(__xludf.DUMMYFUNCTION("IF(Account!$F403&lt;&gt;"""", VALUE(REGEXREPLACE($I403, ""\,"", ""."")), """")"),"")</f>
        <v/>
      </c>
      <c r="O403" s="33" t="str">
        <f>IF(Account!$F403&lt;&gt;"", DATEVALUE(MID($A403,4,3) &amp; LEFT($A403,3) &amp; RIGHT($A403,4)) + TIMEVALUE($B403), "")</f>
        <v/>
      </c>
      <c r="P403" s="34" t="str">
        <f>IF(Account!$F403&lt;&gt;"", DATEVALUE(MID($C403,4,3) &amp; LEFT($C403,3) &amp; RIGHT($C403,4)), "")</f>
        <v/>
      </c>
      <c r="Q403" s="35" t="str">
        <f t="array" ref="Q403">IF($R403&lt;&gt;"",IFERROR(INDEX(Investment!$A:$A,MATCH($R403,Investment!$H:$H,0))),)</f>
        <v/>
      </c>
      <c r="R403" s="36" t="str">
        <f t="array" ref="R403">IF(AND($Y403="change",$H403="EUR"),IF(AND($AA403="Crédit",$O403=$O404),$R404,IF(AND($AA403="Débit",$O403=$O402),$R402)),IF(OR(AND(OR($E403&lt;&gt;"",$M403=""),$N403&lt;&gt;0),$A403=""),IFERROR(INDEX(Investment!$H:$H,MATCH($E403,Investment!$F:$F,0))),IFERROR(INDEX($R404:$R1119,MATCH(SUBSTITUTE($I403,"-","",1),$K404:$K1119,0)),INDEX($R404:$R1119,MATCH($K403,$K404:$K1119,0)))))</f>
        <v/>
      </c>
      <c r="S403" s="35" t="str">
        <f t="shared" si="2"/>
        <v/>
      </c>
      <c r="T403" s="37" t="str">
        <f t="shared" si="3"/>
        <v/>
      </c>
      <c r="U403" s="38" t="str">
        <f t="shared" si="4"/>
        <v/>
      </c>
      <c r="V403" s="31" t="str">
        <f t="shared" si="5"/>
        <v/>
      </c>
      <c r="W403" s="39" t="str">
        <f>IFERROR(__xludf.DUMMYFUNCTION(" IF(Account!$F403&lt;&gt;"""", SPLIT(Account!$F403, "" ""), """")"),"")</f>
        <v/>
      </c>
      <c r="X403" s="40"/>
      <c r="Y403" s="40"/>
      <c r="Z403" s="40"/>
      <c r="AA403" s="40"/>
      <c r="AB403" s="40"/>
      <c r="AC403" s="40"/>
      <c r="AD403" s="40"/>
      <c r="AE403" s="40"/>
      <c r="AF403" s="40"/>
      <c r="AG403" s="40"/>
      <c r="AH403" s="40"/>
      <c r="AI403" s="40"/>
      <c r="AJ403" s="40"/>
      <c r="AK403" s="40"/>
    </row>
    <row r="404">
      <c r="A404" s="10"/>
      <c r="B404" s="10"/>
      <c r="C404" s="10"/>
      <c r="D404" s="10"/>
      <c r="E404" s="10"/>
      <c r="F404" s="12"/>
      <c r="G404" s="10"/>
      <c r="H404" s="10"/>
      <c r="I404" s="10"/>
      <c r="J404" s="10"/>
      <c r="K404" s="10"/>
      <c r="L404" s="12"/>
      <c r="M404" s="29" t="str">
        <f t="shared" si="1"/>
        <v/>
      </c>
      <c r="N404" s="31" t="str">
        <f>IFERROR(__xludf.DUMMYFUNCTION("IF(Account!$F404&lt;&gt;"""", VALUE(REGEXREPLACE($I404, ""\,"", ""."")), """")"),"")</f>
        <v/>
      </c>
      <c r="O404" s="33" t="str">
        <f>IF(Account!$F404&lt;&gt;"", DATEVALUE(MID($A404,4,3) &amp; LEFT($A404,3) &amp; RIGHT($A404,4)) + TIMEVALUE($B404), "")</f>
        <v/>
      </c>
      <c r="P404" s="34" t="str">
        <f>IF(Account!$F404&lt;&gt;"", DATEVALUE(MID($C404,4,3) &amp; LEFT($C404,3) &amp; RIGHT($C404,4)), "")</f>
        <v/>
      </c>
      <c r="Q404" s="35" t="str">
        <f t="array" ref="Q404">IF($R404&lt;&gt;"",IFERROR(INDEX(Investment!$A:$A,MATCH($R404,Investment!$H:$H,0))),)</f>
        <v/>
      </c>
      <c r="R404" s="36" t="str">
        <f t="array" ref="R404">IF(AND($Y404="change",$H404="EUR"),IF(AND($AA404="Crédit",$O404=$O405),$R405,IF(AND($AA404="Débit",$O404=$O403),$R403)),IF(OR(AND(OR($E404&lt;&gt;"",$M404=""),$N404&lt;&gt;0),$A404=""),IFERROR(INDEX(Investment!$H:$H,MATCH($E404,Investment!$F:$F,0))),IFERROR(INDEX($R405:$R1119,MATCH(SUBSTITUTE($I404,"-","",1),$K405:$K1119,0)),INDEX($R405:$R1119,MATCH($K404,$K405:$K1119,0)))))</f>
        <v/>
      </c>
      <c r="S404" s="35" t="str">
        <f t="shared" si="2"/>
        <v/>
      </c>
      <c r="T404" s="37" t="str">
        <f t="shared" si="3"/>
        <v/>
      </c>
      <c r="U404" s="38" t="str">
        <f t="shared" si="4"/>
        <v/>
      </c>
      <c r="V404" s="31" t="str">
        <f t="shared" si="5"/>
        <v/>
      </c>
      <c r="W404" s="39" t="str">
        <f>IFERROR(__xludf.DUMMYFUNCTION(" IF(Account!$F404&lt;&gt;"""", SPLIT(Account!$F404, "" ""), """")"),"")</f>
        <v/>
      </c>
      <c r="X404" s="40"/>
      <c r="Y404" s="40"/>
      <c r="Z404" s="40"/>
      <c r="AA404" s="40"/>
      <c r="AB404" s="40"/>
      <c r="AC404" s="40"/>
      <c r="AD404" s="40"/>
      <c r="AE404" s="40"/>
      <c r="AF404" s="40"/>
      <c r="AG404" s="40"/>
      <c r="AH404" s="40"/>
      <c r="AI404" s="40"/>
      <c r="AJ404" s="40"/>
      <c r="AK404" s="40"/>
    </row>
    <row r="405">
      <c r="A405" s="10"/>
      <c r="B405" s="10"/>
      <c r="C405" s="10"/>
      <c r="D405" s="10"/>
      <c r="E405" s="10"/>
      <c r="F405" s="12"/>
      <c r="G405" s="300"/>
      <c r="H405" s="10"/>
      <c r="I405" s="10"/>
      <c r="J405" s="10"/>
      <c r="K405" s="10"/>
      <c r="L405" s="12"/>
      <c r="M405" s="29" t="str">
        <f t="shared" si="1"/>
        <v/>
      </c>
      <c r="N405" s="31" t="str">
        <f>IFERROR(__xludf.DUMMYFUNCTION("IF(Account!$F405&lt;&gt;"""", VALUE(REGEXREPLACE($I405, ""\,"", ""."")), """")"),"")</f>
        <v/>
      </c>
      <c r="O405" s="33" t="str">
        <f>IF(Account!$F405&lt;&gt;"", DATEVALUE(MID($A405,4,3) &amp; LEFT($A405,3) &amp; RIGHT($A405,4)) + TIMEVALUE($B405), "")</f>
        <v/>
      </c>
      <c r="P405" s="34" t="str">
        <f>IF(Account!$F405&lt;&gt;"", DATEVALUE(MID($C405,4,3) &amp; LEFT($C405,3) &amp; RIGHT($C405,4)), "")</f>
        <v/>
      </c>
      <c r="Q405" s="35" t="str">
        <f t="array" ref="Q405">IF($R405&lt;&gt;"",IFERROR(INDEX(Investment!$A:$A,MATCH($R405,Investment!$H:$H,0))),)</f>
        <v/>
      </c>
      <c r="R405" s="36" t="str">
        <f t="array" ref="R405">IF(AND($Y405="change",$H405="EUR"),IF(AND($AA405="Crédit",$O405=$O406),$R406,IF(AND($AA405="Débit",$O405=$O404),$R404)),IF(OR(AND(OR($E405&lt;&gt;"",$M405=""),$N405&lt;&gt;0),$A405=""),IFERROR(INDEX(Investment!$H:$H,MATCH($E405,Investment!$F:$F,0))),IFERROR(INDEX($R406:$R1119,MATCH(SUBSTITUTE($I405,"-","",1),$K406:$K1119,0)),INDEX($R406:$R1119,MATCH($K405,$K406:$K1119,0)))))</f>
        <v/>
      </c>
      <c r="S405" s="35" t="str">
        <f t="shared" si="2"/>
        <v/>
      </c>
      <c r="T405" s="37" t="str">
        <f t="shared" si="3"/>
        <v/>
      </c>
      <c r="U405" s="38" t="str">
        <f t="shared" si="4"/>
        <v/>
      </c>
      <c r="V405" s="31" t="str">
        <f t="shared" si="5"/>
        <v/>
      </c>
      <c r="W405" s="39" t="str">
        <f>IFERROR(__xludf.DUMMYFUNCTION(" IF(Account!$F405&lt;&gt;"""", SPLIT(Account!$F405, "" ""), """")"),"")</f>
        <v/>
      </c>
      <c r="X405" s="40"/>
      <c r="Y405" s="40"/>
      <c r="Z405" s="40"/>
      <c r="AA405" s="40"/>
      <c r="AB405" s="40"/>
      <c r="AC405" s="40"/>
      <c r="AD405" s="40"/>
      <c r="AE405" s="40"/>
      <c r="AF405" s="40"/>
      <c r="AG405" s="40"/>
      <c r="AH405" s="40"/>
      <c r="AI405" s="40"/>
      <c r="AJ405" s="40"/>
      <c r="AK405" s="40"/>
    </row>
    <row r="406">
      <c r="A406" s="10"/>
      <c r="B406" s="10"/>
      <c r="C406" s="10"/>
      <c r="D406" s="10"/>
      <c r="E406" s="10"/>
      <c r="F406" s="12"/>
      <c r="G406" s="10"/>
      <c r="H406" s="10"/>
      <c r="I406" s="10"/>
      <c r="J406" s="10"/>
      <c r="K406" s="10"/>
      <c r="L406" s="12"/>
      <c r="M406" s="29" t="str">
        <f t="shared" si="1"/>
        <v/>
      </c>
      <c r="N406" s="31" t="str">
        <f>IFERROR(__xludf.DUMMYFUNCTION("IF(Account!$F406&lt;&gt;"""", VALUE(REGEXREPLACE($I406, ""\,"", ""."")), """")"),"")</f>
        <v/>
      </c>
      <c r="O406" s="33" t="str">
        <f>IF(Account!$F406&lt;&gt;"", DATEVALUE(MID($A406,4,3) &amp; LEFT($A406,3) &amp; RIGHT($A406,4)) + TIMEVALUE($B406), "")</f>
        <v/>
      </c>
      <c r="P406" s="34" t="str">
        <f>IF(Account!$F406&lt;&gt;"", DATEVALUE(MID($C406,4,3) &amp; LEFT($C406,3) &amp; RIGHT($C406,4)), "")</f>
        <v/>
      </c>
      <c r="Q406" s="35" t="str">
        <f t="array" ref="Q406">IF($R406&lt;&gt;"",IFERROR(INDEX(Investment!$A:$A,MATCH($R406,Investment!$H:$H,0))),)</f>
        <v/>
      </c>
      <c r="R406" s="36" t="str">
        <f t="array" ref="R406">IF(AND($Y406="change",$H406="EUR"),IF(AND($AA406="Crédit",$O406=$O407),$R407,IF(AND($AA406="Débit",$O406=$O405),$R405)),IF(OR(AND(OR($E406&lt;&gt;"",$M406=""),$N406&lt;&gt;0),$A406=""),IFERROR(INDEX(Investment!$H:$H,MATCH($E406,Investment!$F:$F,0))),IFERROR(INDEX($R407:$R1119,MATCH(SUBSTITUTE($I406,"-","",1),$K407:$K1119,0)),INDEX($R407:$R1119,MATCH($K406,$K407:$K1119,0)))))</f>
        <v/>
      </c>
      <c r="S406" s="35" t="str">
        <f t="shared" si="2"/>
        <v/>
      </c>
      <c r="T406" s="37" t="str">
        <f t="shared" si="3"/>
        <v/>
      </c>
      <c r="U406" s="38" t="str">
        <f t="shared" si="4"/>
        <v/>
      </c>
      <c r="V406" s="31" t="str">
        <f t="shared" si="5"/>
        <v/>
      </c>
      <c r="W406" s="39" t="str">
        <f>IFERROR(__xludf.DUMMYFUNCTION(" IF(Account!$F406&lt;&gt;"""", SPLIT(Account!$F406, "" ""), """")"),"")</f>
        <v/>
      </c>
      <c r="X406" s="40"/>
      <c r="Y406" s="40"/>
      <c r="Z406" s="40"/>
      <c r="AA406" s="40"/>
      <c r="AB406" s="40"/>
      <c r="AC406" s="40"/>
      <c r="AD406" s="40"/>
      <c r="AE406" s="40"/>
      <c r="AF406" s="40"/>
      <c r="AG406" s="40"/>
      <c r="AH406" s="40"/>
      <c r="AI406" s="40"/>
      <c r="AJ406" s="40"/>
      <c r="AK406" s="40"/>
    </row>
    <row r="407">
      <c r="A407" s="10"/>
      <c r="B407" s="10"/>
      <c r="C407" s="10"/>
      <c r="D407" s="10"/>
      <c r="E407" s="10"/>
      <c r="F407" s="12"/>
      <c r="G407" s="300"/>
      <c r="H407" s="10"/>
      <c r="I407" s="10"/>
      <c r="J407" s="10"/>
      <c r="K407" s="10"/>
      <c r="L407" s="12"/>
      <c r="M407" s="29" t="str">
        <f t="shared" si="1"/>
        <v/>
      </c>
      <c r="N407" s="31" t="str">
        <f>IFERROR(__xludf.DUMMYFUNCTION("IF(Account!$F407&lt;&gt;"""", VALUE(REGEXREPLACE($I407, ""\,"", ""."")), """")"),"")</f>
        <v/>
      </c>
      <c r="O407" s="33" t="str">
        <f>IF(Account!$F407&lt;&gt;"", DATEVALUE(MID($A407,4,3) &amp; LEFT($A407,3) &amp; RIGHT($A407,4)) + TIMEVALUE($B407), "")</f>
        <v/>
      </c>
      <c r="P407" s="34" t="str">
        <f>IF(Account!$F407&lt;&gt;"", DATEVALUE(MID($C407,4,3) &amp; LEFT($C407,3) &amp; RIGHT($C407,4)), "")</f>
        <v/>
      </c>
      <c r="Q407" s="35" t="str">
        <f t="array" ref="Q407">IF($R407&lt;&gt;"",IFERROR(INDEX(Investment!$A:$A,MATCH($R407,Investment!$H:$H,0))),)</f>
        <v/>
      </c>
      <c r="R407" s="36" t="str">
        <f t="array" ref="R407">IF(AND($Y407="change",$H407="EUR"),IF(AND($AA407="Crédit",$O407=$O408),$R408,IF(AND($AA407="Débit",$O407=$O406),$R406)),IF(OR(AND(OR($E407&lt;&gt;"",$M407=""),$N407&lt;&gt;0),$A407=""),IFERROR(INDEX(Investment!$H:$H,MATCH($E407,Investment!$F:$F,0))),IFERROR(INDEX($R408:$R1119,MATCH(SUBSTITUTE($I407,"-","",1),$K408:$K1119,0)),INDEX($R408:$R1119,MATCH($K407,$K408:$K1119,0)))))</f>
        <v/>
      </c>
      <c r="S407" s="35" t="str">
        <f t="shared" si="2"/>
        <v/>
      </c>
      <c r="T407" s="37" t="str">
        <f t="shared" si="3"/>
        <v/>
      </c>
      <c r="U407" s="38" t="str">
        <f t="shared" si="4"/>
        <v/>
      </c>
      <c r="V407" s="31" t="str">
        <f t="shared" si="5"/>
        <v/>
      </c>
      <c r="W407" s="39" t="str">
        <f>IFERROR(__xludf.DUMMYFUNCTION(" IF(Account!$F407&lt;&gt;"""", SPLIT(Account!$F407, "" ""), """")"),"")</f>
        <v/>
      </c>
      <c r="X407" s="40"/>
      <c r="Y407" s="40"/>
      <c r="Z407" s="40"/>
      <c r="AA407" s="40"/>
      <c r="AB407" s="40"/>
      <c r="AC407" s="40"/>
      <c r="AD407" s="40"/>
      <c r="AE407" s="40"/>
      <c r="AF407" s="40"/>
      <c r="AG407" s="40"/>
      <c r="AH407" s="40"/>
      <c r="AI407" s="40"/>
      <c r="AJ407" s="40"/>
      <c r="AK407" s="40"/>
    </row>
    <row r="408">
      <c r="A408" s="10"/>
      <c r="B408" s="10"/>
      <c r="C408" s="10"/>
      <c r="D408" s="10"/>
      <c r="E408" s="10"/>
      <c r="F408" s="12"/>
      <c r="G408" s="10"/>
      <c r="H408" s="10"/>
      <c r="I408" s="10"/>
      <c r="J408" s="10"/>
      <c r="K408" s="10"/>
      <c r="L408" s="12"/>
      <c r="M408" s="29" t="str">
        <f t="shared" si="1"/>
        <v/>
      </c>
      <c r="N408" s="31" t="str">
        <f>IFERROR(__xludf.DUMMYFUNCTION("IF(Account!$F408&lt;&gt;"""", VALUE(REGEXREPLACE($I408, ""\,"", ""."")), """")"),"")</f>
        <v/>
      </c>
      <c r="O408" s="33" t="str">
        <f>IF(Account!$F408&lt;&gt;"", DATEVALUE(MID($A408,4,3) &amp; LEFT($A408,3) &amp; RIGHT($A408,4)) + TIMEVALUE($B408), "")</f>
        <v/>
      </c>
      <c r="P408" s="34" t="str">
        <f>IF(Account!$F408&lt;&gt;"", DATEVALUE(MID($C408,4,3) &amp; LEFT($C408,3) &amp; RIGHT($C408,4)), "")</f>
        <v/>
      </c>
      <c r="Q408" s="35" t="str">
        <f t="array" ref="Q408">IF($R408&lt;&gt;"",IFERROR(INDEX(Investment!$A:$A,MATCH($R408,Investment!$H:$H,0))),)</f>
        <v/>
      </c>
      <c r="R408" s="36" t="str">
        <f t="array" ref="R408">IF(AND($Y408="change",$H408="EUR"),IF(AND($AA408="Crédit",$O408=$O409),$R409,IF(AND($AA408="Débit",$O408=$O407),$R407)),IF(OR(AND(OR($E408&lt;&gt;"",$M408=""),$N408&lt;&gt;0),$A408=""),IFERROR(INDEX(Investment!$H:$H,MATCH($E408,Investment!$F:$F,0))),IFERROR(INDEX($R409:$R1119,MATCH(SUBSTITUTE($I408,"-","",1),$K409:$K1119,0)),INDEX($R409:$R1119,MATCH($K408,$K409:$K1119,0)))))</f>
        <v/>
      </c>
      <c r="S408" s="35" t="str">
        <f t="shared" si="2"/>
        <v/>
      </c>
      <c r="T408" s="37" t="str">
        <f t="shared" si="3"/>
        <v/>
      </c>
      <c r="U408" s="38" t="str">
        <f t="shared" si="4"/>
        <v/>
      </c>
      <c r="V408" s="31" t="str">
        <f t="shared" si="5"/>
        <v/>
      </c>
      <c r="W408" s="39" t="str">
        <f>IFERROR(__xludf.DUMMYFUNCTION(" IF(Account!$F408&lt;&gt;"""", SPLIT(Account!$F408, "" ""), """")"),"")</f>
        <v/>
      </c>
      <c r="X408" s="40"/>
      <c r="Y408" s="40"/>
      <c r="Z408" s="40"/>
      <c r="AA408" s="40"/>
      <c r="AB408" s="40"/>
      <c r="AC408" s="40"/>
      <c r="AD408" s="40"/>
      <c r="AE408" s="40"/>
      <c r="AF408" s="40"/>
      <c r="AG408" s="40"/>
      <c r="AH408" s="40"/>
      <c r="AI408" s="40"/>
      <c r="AJ408" s="40"/>
      <c r="AK408" s="40"/>
    </row>
    <row r="409">
      <c r="A409" s="10"/>
      <c r="B409" s="10"/>
      <c r="C409" s="10"/>
      <c r="D409" s="10"/>
      <c r="E409" s="10"/>
      <c r="F409" s="12"/>
      <c r="G409" s="300"/>
      <c r="H409" s="10"/>
      <c r="I409" s="10"/>
      <c r="J409" s="10"/>
      <c r="K409" s="10"/>
      <c r="L409" s="12"/>
      <c r="M409" s="29" t="str">
        <f t="shared" si="1"/>
        <v/>
      </c>
      <c r="N409" s="31" t="str">
        <f>IFERROR(__xludf.DUMMYFUNCTION("IF(Account!$F409&lt;&gt;"""", VALUE(REGEXREPLACE($I409, ""\,"", ""."")), """")"),"")</f>
        <v/>
      </c>
      <c r="O409" s="33" t="str">
        <f>IF(Account!$F409&lt;&gt;"", DATEVALUE(MID($A409,4,3) &amp; LEFT($A409,3) &amp; RIGHT($A409,4)) + TIMEVALUE($B409), "")</f>
        <v/>
      </c>
      <c r="P409" s="34" t="str">
        <f>IF(Account!$F409&lt;&gt;"", DATEVALUE(MID($C409,4,3) &amp; LEFT($C409,3) &amp; RIGHT($C409,4)), "")</f>
        <v/>
      </c>
      <c r="Q409" s="35" t="str">
        <f t="array" ref="Q409">IF($R409&lt;&gt;"",IFERROR(INDEX(Investment!$A:$A,MATCH($R409,Investment!$H:$H,0))),)</f>
        <v/>
      </c>
      <c r="R409" s="36" t="str">
        <f t="array" ref="R409">IF(AND($Y409="change",$H409="EUR"),IF(AND($AA409="Crédit",$O409=$O410),$R410,IF(AND($AA409="Débit",$O409=$O408),$R408)),IF(OR(AND(OR($E409&lt;&gt;"",$M409=""),$N409&lt;&gt;0),$A409=""),IFERROR(INDEX(Investment!$H:$H,MATCH($E409,Investment!$F:$F,0))),IFERROR(INDEX($R410:$R1119,MATCH(SUBSTITUTE($I409,"-","",1),$K410:$K1119,0)),INDEX($R410:$R1119,MATCH($K409,$K410:$K1119,0)))))</f>
        <v/>
      </c>
      <c r="S409" s="35" t="str">
        <f t="shared" si="2"/>
        <v/>
      </c>
      <c r="T409" s="37" t="str">
        <f t="shared" si="3"/>
        <v/>
      </c>
      <c r="U409" s="38" t="str">
        <f t="shared" si="4"/>
        <v/>
      </c>
      <c r="V409" s="31" t="str">
        <f t="shared" si="5"/>
        <v/>
      </c>
      <c r="W409" s="39" t="str">
        <f>IFERROR(__xludf.DUMMYFUNCTION(" IF(Account!$F409&lt;&gt;"""", SPLIT(Account!$F409, "" ""), """")"),"")</f>
        <v/>
      </c>
      <c r="X409" s="40"/>
      <c r="Y409" s="40"/>
      <c r="Z409" s="40"/>
      <c r="AA409" s="40"/>
      <c r="AB409" s="40"/>
      <c r="AC409" s="40"/>
      <c r="AD409" s="40"/>
      <c r="AE409" s="40"/>
      <c r="AF409" s="40"/>
      <c r="AG409" s="40"/>
      <c r="AH409" s="40"/>
      <c r="AI409" s="40"/>
      <c r="AJ409" s="40"/>
      <c r="AK409" s="40"/>
    </row>
    <row r="410">
      <c r="A410" s="10"/>
      <c r="B410" s="10"/>
      <c r="C410" s="10"/>
      <c r="D410" s="10"/>
      <c r="E410" s="10"/>
      <c r="F410" s="12"/>
      <c r="G410" s="10"/>
      <c r="H410" s="10"/>
      <c r="I410" s="10"/>
      <c r="J410" s="10"/>
      <c r="K410" s="10"/>
      <c r="L410" s="12"/>
      <c r="M410" s="29" t="str">
        <f t="shared" si="1"/>
        <v/>
      </c>
      <c r="N410" s="31" t="str">
        <f>IFERROR(__xludf.DUMMYFUNCTION("IF(Account!$F410&lt;&gt;"""", VALUE(REGEXREPLACE($I410, ""\,"", ""."")), """")"),"")</f>
        <v/>
      </c>
      <c r="O410" s="33" t="str">
        <f>IF(Account!$F410&lt;&gt;"", DATEVALUE(MID($A410,4,3) &amp; LEFT($A410,3) &amp; RIGHT($A410,4)) + TIMEVALUE($B410), "")</f>
        <v/>
      </c>
      <c r="P410" s="34" t="str">
        <f>IF(Account!$F410&lt;&gt;"", DATEVALUE(MID($C410,4,3) &amp; LEFT($C410,3) &amp; RIGHT($C410,4)), "")</f>
        <v/>
      </c>
      <c r="Q410" s="35" t="str">
        <f t="array" ref="Q410">IF($R410&lt;&gt;"",IFERROR(INDEX(Investment!$A:$A,MATCH($R410,Investment!$H:$H,0))),)</f>
        <v/>
      </c>
      <c r="R410" s="36" t="str">
        <f t="array" ref="R410">IF(AND($Y410="change",$H410="EUR"),IF(AND($AA410="Crédit",$O410=$O411),$R411,IF(AND($AA410="Débit",$O410=$O409),$R409)),IF(OR(AND(OR($E410&lt;&gt;"",$M410=""),$N410&lt;&gt;0),$A410=""),IFERROR(INDEX(Investment!$H:$H,MATCH($E410,Investment!$F:$F,0))),IFERROR(INDEX($R411:$R1119,MATCH(SUBSTITUTE($I410,"-","",1),$K411:$K1119,0)),INDEX($R411:$R1119,MATCH($K410,$K411:$K1119,0)))))</f>
        <v/>
      </c>
      <c r="S410" s="35" t="str">
        <f t="shared" si="2"/>
        <v/>
      </c>
      <c r="T410" s="37" t="str">
        <f t="shared" si="3"/>
        <v/>
      </c>
      <c r="U410" s="38" t="str">
        <f t="shared" si="4"/>
        <v/>
      </c>
      <c r="V410" s="31" t="str">
        <f t="shared" si="5"/>
        <v/>
      </c>
      <c r="W410" s="39" t="str">
        <f>IFERROR(__xludf.DUMMYFUNCTION(" IF(Account!$F410&lt;&gt;"""", SPLIT(Account!$F410, "" ""), """")"),"")</f>
        <v/>
      </c>
      <c r="X410" s="40"/>
      <c r="Y410" s="40"/>
      <c r="Z410" s="40"/>
      <c r="AA410" s="40"/>
      <c r="AB410" s="40"/>
      <c r="AC410" s="40"/>
      <c r="AD410" s="40"/>
      <c r="AE410" s="40"/>
      <c r="AF410" s="40"/>
      <c r="AG410" s="40"/>
      <c r="AH410" s="40"/>
      <c r="AI410" s="40"/>
      <c r="AJ410" s="40"/>
      <c r="AK410" s="40"/>
    </row>
    <row r="411">
      <c r="A411" s="10"/>
      <c r="B411" s="10"/>
      <c r="C411" s="10"/>
      <c r="D411" s="10"/>
      <c r="E411" s="10"/>
      <c r="F411" s="12"/>
      <c r="G411" s="300"/>
      <c r="H411" s="10"/>
      <c r="I411" s="10"/>
      <c r="J411" s="10"/>
      <c r="K411" s="10"/>
      <c r="L411" s="12"/>
      <c r="M411" s="29" t="str">
        <f t="shared" si="1"/>
        <v/>
      </c>
      <c r="N411" s="31" t="str">
        <f>IFERROR(__xludf.DUMMYFUNCTION("IF(Account!$F411&lt;&gt;"""", VALUE(REGEXREPLACE($I411, ""\,"", ""."")), """")"),"")</f>
        <v/>
      </c>
      <c r="O411" s="33" t="str">
        <f>IF(Account!$F411&lt;&gt;"", DATEVALUE(MID($A411,4,3) &amp; LEFT($A411,3) &amp; RIGHT($A411,4)) + TIMEVALUE($B411), "")</f>
        <v/>
      </c>
      <c r="P411" s="34" t="str">
        <f>IF(Account!$F411&lt;&gt;"", DATEVALUE(MID($C411,4,3) &amp; LEFT($C411,3) &amp; RIGHT($C411,4)), "")</f>
        <v/>
      </c>
      <c r="Q411" s="35" t="str">
        <f t="array" ref="Q411">IF($R411&lt;&gt;"",IFERROR(INDEX(Investment!$A:$A,MATCH($R411,Investment!$H:$H,0))),)</f>
        <v/>
      </c>
      <c r="R411" s="36" t="str">
        <f t="array" ref="R411">IF(AND($Y411="change",$H411="EUR"),IF(AND($AA411="Crédit",$O411=$O412),$R412,IF(AND($AA411="Débit",$O411=$O410),$R410)),IF(OR(AND(OR($E411&lt;&gt;"",$M411=""),$N411&lt;&gt;0),$A411=""),IFERROR(INDEX(Investment!$H:$H,MATCH($E411,Investment!$F:$F,0))),IFERROR(INDEX($R412:$R1119,MATCH(SUBSTITUTE($I411,"-","",1),$K412:$K1119,0)),INDEX($R412:$R1119,MATCH($K411,$K412:$K1119,0)))))</f>
        <v/>
      </c>
      <c r="S411" s="35" t="str">
        <f t="shared" si="2"/>
        <v/>
      </c>
      <c r="T411" s="37" t="str">
        <f t="shared" si="3"/>
        <v/>
      </c>
      <c r="U411" s="38" t="str">
        <f t="shared" si="4"/>
        <v/>
      </c>
      <c r="V411" s="31" t="str">
        <f t="shared" si="5"/>
        <v/>
      </c>
      <c r="W411" s="39" t="str">
        <f>IFERROR(__xludf.DUMMYFUNCTION(" IF(Account!$F411&lt;&gt;"""", SPLIT(Account!$F411, "" ""), """")"),"")</f>
        <v/>
      </c>
      <c r="X411" s="40"/>
      <c r="Y411" s="40"/>
      <c r="Z411" s="40"/>
      <c r="AA411" s="40"/>
      <c r="AB411" s="40"/>
      <c r="AC411" s="40"/>
      <c r="AD411" s="40"/>
      <c r="AE411" s="40"/>
      <c r="AF411" s="40"/>
      <c r="AG411" s="40"/>
      <c r="AH411" s="40"/>
      <c r="AI411" s="40"/>
      <c r="AJ411" s="40"/>
      <c r="AK411" s="40"/>
    </row>
    <row r="412">
      <c r="A412" s="10"/>
      <c r="B412" s="10"/>
      <c r="C412" s="10"/>
      <c r="D412" s="10"/>
      <c r="E412" s="10"/>
      <c r="F412" s="12"/>
      <c r="G412" s="300"/>
      <c r="H412" s="10"/>
      <c r="I412" s="10"/>
      <c r="J412" s="10"/>
      <c r="K412" s="10"/>
      <c r="L412" s="12"/>
      <c r="M412" s="29" t="str">
        <f t="shared" si="1"/>
        <v/>
      </c>
      <c r="N412" s="31" t="str">
        <f>IFERROR(__xludf.DUMMYFUNCTION("IF(Account!$F412&lt;&gt;"""", VALUE(REGEXREPLACE($I412, ""\,"", ""."")), """")"),"")</f>
        <v/>
      </c>
      <c r="O412" s="33" t="str">
        <f>IF(Account!$F412&lt;&gt;"", DATEVALUE(MID($A412,4,3) &amp; LEFT($A412,3) &amp; RIGHT($A412,4)) + TIMEVALUE($B412), "")</f>
        <v/>
      </c>
      <c r="P412" s="34" t="str">
        <f>IF(Account!$F412&lt;&gt;"", DATEVALUE(MID($C412,4,3) &amp; LEFT($C412,3) &amp; RIGHT($C412,4)), "")</f>
        <v/>
      </c>
      <c r="Q412" s="35" t="str">
        <f t="array" ref="Q412">IF($R412&lt;&gt;"",IFERROR(INDEX(Investment!$A:$A,MATCH($R412,Investment!$H:$H,0))),)</f>
        <v/>
      </c>
      <c r="R412" s="36" t="str">
        <f t="array" ref="R412">IF(AND($Y412="change",$H412="EUR"),IF(AND($AA412="Crédit",$O412=$O413),$R413,IF(AND($AA412="Débit",$O412=$O411),$R411)),IF(OR(AND(OR($E412&lt;&gt;"",$M412=""),$N412&lt;&gt;0),$A412=""),IFERROR(INDEX(Investment!$H:$H,MATCH($E412,Investment!$F:$F,0))),IFERROR(INDEX($R413:$R1119,MATCH(SUBSTITUTE($I412,"-","",1),$K413:$K1119,0)),INDEX($R413:$R1119,MATCH($K412,$K413:$K1119,0)))))</f>
        <v/>
      </c>
      <c r="S412" s="35" t="str">
        <f t="shared" si="2"/>
        <v/>
      </c>
      <c r="T412" s="37" t="str">
        <f t="shared" si="3"/>
        <v/>
      </c>
      <c r="U412" s="38" t="str">
        <f t="shared" si="4"/>
        <v/>
      </c>
      <c r="V412" s="31" t="str">
        <f t="shared" si="5"/>
        <v/>
      </c>
      <c r="W412" s="39" t="str">
        <f>IFERROR(__xludf.DUMMYFUNCTION(" IF(Account!$F412&lt;&gt;"""", SPLIT(Account!$F412, "" ""), """")"),"")</f>
        <v/>
      </c>
      <c r="X412" s="40"/>
      <c r="Y412" s="40"/>
      <c r="Z412" s="40"/>
      <c r="AA412" s="40"/>
      <c r="AB412" s="40"/>
      <c r="AC412" s="40"/>
      <c r="AD412" s="40"/>
      <c r="AE412" s="40"/>
      <c r="AF412" s="40"/>
      <c r="AG412" s="40"/>
      <c r="AH412" s="40"/>
      <c r="AI412" s="40"/>
      <c r="AJ412" s="40"/>
      <c r="AK412" s="40"/>
    </row>
    <row r="413">
      <c r="A413" s="10"/>
      <c r="B413" s="10"/>
      <c r="C413" s="10"/>
      <c r="D413" s="10"/>
      <c r="E413" s="10"/>
      <c r="F413" s="12"/>
      <c r="G413" s="300"/>
      <c r="H413" s="10"/>
      <c r="I413" s="10"/>
      <c r="J413" s="10"/>
      <c r="K413" s="10"/>
      <c r="L413" s="12"/>
      <c r="M413" s="29" t="str">
        <f t="shared" si="1"/>
        <v/>
      </c>
      <c r="N413" s="31" t="str">
        <f>IFERROR(__xludf.DUMMYFUNCTION("IF(Account!$F413&lt;&gt;"""", VALUE(REGEXREPLACE($I413, ""\,"", ""."")), """")"),"")</f>
        <v/>
      </c>
      <c r="O413" s="33" t="str">
        <f>IF(Account!$F413&lt;&gt;"", DATEVALUE(MID($A413,4,3) &amp; LEFT($A413,3) &amp; RIGHT($A413,4)) + TIMEVALUE($B413), "")</f>
        <v/>
      </c>
      <c r="P413" s="34" t="str">
        <f>IF(Account!$F413&lt;&gt;"", DATEVALUE(MID($C413,4,3) &amp; LEFT($C413,3) &amp; RIGHT($C413,4)), "")</f>
        <v/>
      </c>
      <c r="Q413" s="35" t="str">
        <f t="array" ref="Q413">IF($R413&lt;&gt;"",IFERROR(INDEX(Investment!$A:$A,MATCH($R413,Investment!$H:$H,0))),)</f>
        <v/>
      </c>
      <c r="R413" s="36" t="str">
        <f t="array" ref="R413">IF(AND($Y413="change",$H413="EUR"),IF(AND($AA413="Crédit",$O413=$O414),$R414,IF(AND($AA413="Débit",$O413=$O412),$R412)),IF(OR(AND(OR($E413&lt;&gt;"",$M413=""),$N413&lt;&gt;0),$A413=""),IFERROR(INDEX(Investment!$H:$H,MATCH($E413,Investment!$F:$F,0))),IFERROR(INDEX($R414:$R1119,MATCH(SUBSTITUTE($I413,"-","",1),$K414:$K1119,0)),INDEX($R414:$R1119,MATCH($K413,$K414:$K1119,0)))))</f>
        <v/>
      </c>
      <c r="S413" s="35" t="str">
        <f t="shared" si="2"/>
        <v/>
      </c>
      <c r="T413" s="37" t="str">
        <f t="shared" si="3"/>
        <v/>
      </c>
      <c r="U413" s="38" t="str">
        <f t="shared" si="4"/>
        <v/>
      </c>
      <c r="V413" s="31" t="str">
        <f t="shared" si="5"/>
        <v/>
      </c>
      <c r="W413" s="39" t="str">
        <f>IFERROR(__xludf.DUMMYFUNCTION(" IF(Account!$F413&lt;&gt;"""", SPLIT(Account!$F413, "" ""), """")"),"")</f>
        <v/>
      </c>
      <c r="X413" s="40"/>
      <c r="Y413" s="40"/>
      <c r="Z413" s="40"/>
      <c r="AA413" s="40"/>
      <c r="AB413" s="40"/>
      <c r="AC413" s="40"/>
      <c r="AD413" s="40"/>
      <c r="AE413" s="40"/>
      <c r="AF413" s="40"/>
      <c r="AG413" s="40"/>
      <c r="AH413" s="40"/>
      <c r="AI413" s="40"/>
      <c r="AJ413" s="40"/>
      <c r="AK413" s="40"/>
    </row>
    <row r="414">
      <c r="A414" s="10"/>
      <c r="B414" s="10"/>
      <c r="C414" s="10"/>
      <c r="D414" s="10"/>
      <c r="E414" s="10"/>
      <c r="F414" s="12"/>
      <c r="G414" s="300"/>
      <c r="H414" s="10"/>
      <c r="I414" s="10"/>
      <c r="J414" s="10"/>
      <c r="K414" s="10"/>
      <c r="L414" s="12"/>
      <c r="M414" s="29" t="str">
        <f t="shared" si="1"/>
        <v/>
      </c>
      <c r="N414" s="31" t="str">
        <f>IFERROR(__xludf.DUMMYFUNCTION("IF(Account!$F414&lt;&gt;"""", VALUE(REGEXREPLACE($I414, ""\,"", ""."")), """")"),"")</f>
        <v/>
      </c>
      <c r="O414" s="33" t="str">
        <f>IF(Account!$F414&lt;&gt;"", DATEVALUE(MID($A414,4,3) &amp; LEFT($A414,3) &amp; RIGHT($A414,4)) + TIMEVALUE($B414), "")</f>
        <v/>
      </c>
      <c r="P414" s="34" t="str">
        <f>IF(Account!$F414&lt;&gt;"", DATEVALUE(MID($C414,4,3) &amp; LEFT($C414,3) &amp; RIGHT($C414,4)), "")</f>
        <v/>
      </c>
      <c r="Q414" s="35" t="str">
        <f t="array" ref="Q414">IF($R414&lt;&gt;"",IFERROR(INDEX(Investment!$A:$A,MATCH($R414,Investment!$H:$H,0))),)</f>
        <v/>
      </c>
      <c r="R414" s="36" t="str">
        <f t="array" ref="R414">IF(AND($Y414="change",$H414="EUR"),IF(AND($AA414="Crédit",$O414=$O415),$R415,IF(AND($AA414="Débit",$O414=$O413),$R413)),IF(OR(AND(OR($E414&lt;&gt;"",$M414=""),$N414&lt;&gt;0),$A414=""),IFERROR(INDEX(Investment!$H:$H,MATCH($E414,Investment!$F:$F,0))),IFERROR(INDEX($R415:$R1119,MATCH(SUBSTITUTE($I414,"-","",1),$K415:$K1119,0)),INDEX($R415:$R1119,MATCH($K414,$K415:$K1119,0)))))</f>
        <v/>
      </c>
      <c r="S414" s="35" t="str">
        <f t="shared" si="2"/>
        <v/>
      </c>
      <c r="T414" s="37" t="str">
        <f t="shared" si="3"/>
        <v/>
      </c>
      <c r="U414" s="38" t="str">
        <f t="shared" si="4"/>
        <v/>
      </c>
      <c r="V414" s="31" t="str">
        <f t="shared" si="5"/>
        <v/>
      </c>
      <c r="W414" s="39" t="str">
        <f>IFERROR(__xludf.DUMMYFUNCTION(" IF(Account!$F414&lt;&gt;"""", SPLIT(Account!$F414, "" ""), """")"),"")</f>
        <v/>
      </c>
      <c r="X414" s="40"/>
      <c r="Y414" s="40"/>
      <c r="Z414" s="40"/>
      <c r="AA414" s="40"/>
      <c r="AB414" s="40"/>
      <c r="AC414" s="40"/>
      <c r="AD414" s="40"/>
      <c r="AE414" s="40"/>
      <c r="AF414" s="40"/>
      <c r="AG414" s="40"/>
      <c r="AH414" s="40"/>
      <c r="AI414" s="40"/>
      <c r="AJ414" s="40"/>
      <c r="AK414" s="40"/>
    </row>
    <row r="415">
      <c r="A415" s="10"/>
      <c r="B415" s="10"/>
      <c r="C415" s="10"/>
      <c r="D415" s="10"/>
      <c r="E415" s="10"/>
      <c r="F415" s="12"/>
      <c r="G415" s="300"/>
      <c r="H415" s="10"/>
      <c r="I415" s="10"/>
      <c r="J415" s="10"/>
      <c r="K415" s="10"/>
      <c r="L415" s="12"/>
      <c r="M415" s="29" t="str">
        <f t="shared" si="1"/>
        <v/>
      </c>
      <c r="N415" s="31" t="str">
        <f>IFERROR(__xludf.DUMMYFUNCTION("IF(Account!$F415&lt;&gt;"""", VALUE(REGEXREPLACE($I415, ""\,"", ""."")), """")"),"")</f>
        <v/>
      </c>
      <c r="O415" s="33" t="str">
        <f>IF(Account!$F415&lt;&gt;"", DATEVALUE(MID($A415,4,3) &amp; LEFT($A415,3) &amp; RIGHT($A415,4)) + TIMEVALUE($B415), "")</f>
        <v/>
      </c>
      <c r="P415" s="34" t="str">
        <f>IF(Account!$F415&lt;&gt;"", DATEVALUE(MID($C415,4,3) &amp; LEFT($C415,3) &amp; RIGHT($C415,4)), "")</f>
        <v/>
      </c>
      <c r="Q415" s="35" t="str">
        <f t="array" ref="Q415">IF($R415&lt;&gt;"",IFERROR(INDEX(Investment!$A:$A,MATCH($R415,Investment!$H:$H,0))),)</f>
        <v/>
      </c>
      <c r="R415" s="36" t="str">
        <f t="array" ref="R415">IF(AND($Y415="change",$H415="EUR"),IF(AND($AA415="Crédit",$O415=$O416),$R416,IF(AND($AA415="Débit",$O415=$O414),$R414)),IF(OR(AND(OR($E415&lt;&gt;"",$M415=""),$N415&lt;&gt;0),$A415=""),IFERROR(INDEX(Investment!$H:$H,MATCH($E415,Investment!$F:$F,0))),IFERROR(INDEX($R416:$R1119,MATCH(SUBSTITUTE($I415,"-","",1),$K416:$K1119,0)),INDEX($R416:$R1119,MATCH($K415,$K416:$K1119,0)))))</f>
        <v/>
      </c>
      <c r="S415" s="35" t="str">
        <f t="shared" si="2"/>
        <v/>
      </c>
      <c r="T415" s="37" t="str">
        <f t="shared" si="3"/>
        <v/>
      </c>
      <c r="U415" s="38" t="str">
        <f t="shared" si="4"/>
        <v/>
      </c>
      <c r="V415" s="31" t="str">
        <f t="shared" si="5"/>
        <v/>
      </c>
      <c r="W415" s="39" t="str">
        <f>IFERROR(__xludf.DUMMYFUNCTION(" IF(Account!$F415&lt;&gt;"""", SPLIT(Account!$F415, "" ""), """")"),"")</f>
        <v/>
      </c>
      <c r="X415" s="40"/>
      <c r="Y415" s="40"/>
      <c r="Z415" s="40"/>
      <c r="AA415" s="40"/>
      <c r="AB415" s="40"/>
      <c r="AC415" s="40"/>
      <c r="AD415" s="40"/>
      <c r="AE415" s="40"/>
      <c r="AF415" s="40"/>
      <c r="AG415" s="40"/>
      <c r="AH415" s="40"/>
      <c r="AI415" s="40"/>
      <c r="AJ415" s="40"/>
      <c r="AK415" s="40"/>
    </row>
    <row r="416">
      <c r="A416" s="10"/>
      <c r="B416" s="10"/>
      <c r="C416" s="10"/>
      <c r="D416" s="10"/>
      <c r="E416" s="10"/>
      <c r="F416" s="12"/>
      <c r="G416" s="300"/>
      <c r="H416" s="10"/>
      <c r="I416" s="10"/>
      <c r="J416" s="10"/>
      <c r="K416" s="10"/>
      <c r="L416" s="12"/>
      <c r="M416" s="29" t="str">
        <f t="shared" si="1"/>
        <v/>
      </c>
      <c r="N416" s="31" t="str">
        <f>IFERROR(__xludf.DUMMYFUNCTION("IF(Account!$F416&lt;&gt;"""", VALUE(REGEXREPLACE($I416, ""\,"", ""."")), """")"),"")</f>
        <v/>
      </c>
      <c r="O416" s="33" t="str">
        <f>IF(Account!$F416&lt;&gt;"", DATEVALUE(MID($A416,4,3) &amp; LEFT($A416,3) &amp; RIGHT($A416,4)) + TIMEVALUE($B416), "")</f>
        <v/>
      </c>
      <c r="P416" s="34" t="str">
        <f>IF(Account!$F416&lt;&gt;"", DATEVALUE(MID($C416,4,3) &amp; LEFT($C416,3) &amp; RIGHT($C416,4)), "")</f>
        <v/>
      </c>
      <c r="Q416" s="35" t="str">
        <f t="array" ref="Q416">IF($R416&lt;&gt;"",IFERROR(INDEX(Investment!$A:$A,MATCH($R416,Investment!$H:$H,0))),)</f>
        <v/>
      </c>
      <c r="R416" s="36" t="str">
        <f t="array" ref="R416">IF(AND($Y416="change",$H416="EUR"),IF(AND($AA416="Crédit",$O416=$O417),$R417,IF(AND($AA416="Débit",$O416=$O415),$R415)),IF(OR(AND(OR($E416&lt;&gt;"",$M416=""),$N416&lt;&gt;0),$A416=""),IFERROR(INDEX(Investment!$H:$H,MATCH($E416,Investment!$F:$F,0))),IFERROR(INDEX($R417:$R1119,MATCH(SUBSTITUTE($I416,"-","",1),$K417:$K1119,0)),INDEX($R417:$R1119,MATCH($K416,$K417:$K1119,0)))))</f>
        <v/>
      </c>
      <c r="S416" s="35" t="str">
        <f t="shared" si="2"/>
        <v/>
      </c>
      <c r="T416" s="37" t="str">
        <f t="shared" si="3"/>
        <v/>
      </c>
      <c r="U416" s="38" t="str">
        <f t="shared" si="4"/>
        <v/>
      </c>
      <c r="V416" s="31" t="str">
        <f t="shared" si="5"/>
        <v/>
      </c>
      <c r="W416" s="39" t="str">
        <f>IFERROR(__xludf.DUMMYFUNCTION(" IF(Account!$F416&lt;&gt;"""", SPLIT(Account!$F416, "" ""), """")"),"")</f>
        <v/>
      </c>
      <c r="X416" s="40"/>
      <c r="Y416" s="40"/>
      <c r="Z416" s="40"/>
      <c r="AA416" s="40"/>
      <c r="AB416" s="40"/>
      <c r="AC416" s="40"/>
      <c r="AD416" s="40"/>
      <c r="AE416" s="40"/>
      <c r="AF416" s="40"/>
      <c r="AG416" s="40"/>
      <c r="AH416" s="40"/>
      <c r="AI416" s="40"/>
      <c r="AJ416" s="40"/>
      <c r="AK416" s="40"/>
    </row>
    <row r="417">
      <c r="A417" s="10"/>
      <c r="B417" s="10"/>
      <c r="C417" s="10"/>
      <c r="D417" s="10"/>
      <c r="E417" s="10"/>
      <c r="F417" s="12"/>
      <c r="G417" s="300"/>
      <c r="H417" s="10"/>
      <c r="I417" s="10"/>
      <c r="J417" s="10"/>
      <c r="K417" s="10"/>
      <c r="L417" s="12"/>
      <c r="M417" s="29" t="str">
        <f t="shared" si="1"/>
        <v/>
      </c>
      <c r="N417" s="31" t="str">
        <f>IFERROR(__xludf.DUMMYFUNCTION("IF(Account!$F417&lt;&gt;"""", VALUE(REGEXREPLACE($I417, ""\,"", ""."")), """")"),"")</f>
        <v/>
      </c>
      <c r="O417" s="33" t="str">
        <f>IF(Account!$F417&lt;&gt;"", DATEVALUE(MID($A417,4,3) &amp; LEFT($A417,3) &amp; RIGHT($A417,4)) + TIMEVALUE($B417), "")</f>
        <v/>
      </c>
      <c r="P417" s="34" t="str">
        <f>IF(Account!$F417&lt;&gt;"", DATEVALUE(MID($C417,4,3) &amp; LEFT($C417,3) &amp; RIGHT($C417,4)), "")</f>
        <v/>
      </c>
      <c r="Q417" s="35" t="str">
        <f t="array" ref="Q417">IF($R417&lt;&gt;"",IFERROR(INDEX(Investment!$A:$A,MATCH($R417,Investment!$H:$H,0))),)</f>
        <v/>
      </c>
      <c r="R417" s="36" t="str">
        <f t="array" ref="R417">IF(AND($Y417="change",$H417="EUR"),IF(AND($AA417="Crédit",$O417=$O418),$R418,IF(AND($AA417="Débit",$O417=$O416),$R416)),IF(OR(AND(OR($E417&lt;&gt;"",$M417=""),$N417&lt;&gt;0),$A417=""),IFERROR(INDEX(Investment!$H:$H,MATCH($E417,Investment!$F:$F,0))),IFERROR(INDEX($R418:$R1119,MATCH(SUBSTITUTE($I417,"-","",1),$K418:$K1119,0)),INDEX($R418:$R1119,MATCH($K417,$K418:$K1119,0)))))</f>
        <v/>
      </c>
      <c r="S417" s="35" t="str">
        <f t="shared" si="2"/>
        <v/>
      </c>
      <c r="T417" s="37" t="str">
        <f t="shared" si="3"/>
        <v/>
      </c>
      <c r="U417" s="38" t="str">
        <f t="shared" si="4"/>
        <v/>
      </c>
      <c r="V417" s="31" t="str">
        <f t="shared" si="5"/>
        <v/>
      </c>
      <c r="W417" s="39" t="str">
        <f>IFERROR(__xludf.DUMMYFUNCTION(" IF(Account!$F417&lt;&gt;"""", SPLIT(Account!$F417, "" ""), """")"),"")</f>
        <v/>
      </c>
      <c r="X417" s="40"/>
      <c r="Y417" s="40"/>
      <c r="Z417" s="40"/>
      <c r="AA417" s="40"/>
      <c r="AB417" s="40"/>
      <c r="AC417" s="40"/>
      <c r="AD417" s="40"/>
      <c r="AE417" s="40"/>
      <c r="AF417" s="40"/>
      <c r="AG417" s="40"/>
      <c r="AH417" s="40"/>
      <c r="AI417" s="40"/>
      <c r="AJ417" s="40"/>
      <c r="AK417" s="40"/>
    </row>
    <row r="418">
      <c r="A418" s="10"/>
      <c r="B418" s="10"/>
      <c r="C418" s="10"/>
      <c r="D418" s="10"/>
      <c r="E418" s="10"/>
      <c r="F418" s="12"/>
      <c r="G418" s="300"/>
      <c r="H418" s="10"/>
      <c r="I418" s="10"/>
      <c r="J418" s="10"/>
      <c r="K418" s="10"/>
      <c r="L418" s="12"/>
      <c r="M418" s="29" t="str">
        <f t="shared" si="1"/>
        <v/>
      </c>
      <c r="N418" s="31" t="str">
        <f>IFERROR(__xludf.DUMMYFUNCTION("IF(Account!$F418&lt;&gt;"""", VALUE(REGEXREPLACE($I418, ""\,"", ""."")), """")"),"")</f>
        <v/>
      </c>
      <c r="O418" s="33" t="str">
        <f>IF(Account!$F418&lt;&gt;"", DATEVALUE(MID($A418,4,3) &amp; LEFT($A418,3) &amp; RIGHT($A418,4)) + TIMEVALUE($B418), "")</f>
        <v/>
      </c>
      <c r="P418" s="34" t="str">
        <f>IF(Account!$F418&lt;&gt;"", DATEVALUE(MID($C418,4,3) &amp; LEFT($C418,3) &amp; RIGHT($C418,4)), "")</f>
        <v/>
      </c>
      <c r="Q418" s="35" t="str">
        <f t="array" ref="Q418">IF($R418&lt;&gt;"",IFERROR(INDEX(Investment!$A:$A,MATCH($R418,Investment!$H:$H,0))),)</f>
        <v/>
      </c>
      <c r="R418" s="36" t="str">
        <f t="array" ref="R418">IF(AND($Y418="change",$H418="EUR"),IF(AND($AA418="Crédit",$O418=$O419),$R419,IF(AND($AA418="Débit",$O418=$O417),$R417)),IF(OR(AND(OR($E418&lt;&gt;"",$M418=""),$N418&lt;&gt;0),$A418=""),IFERROR(INDEX(Investment!$H:$H,MATCH($E418,Investment!$F:$F,0))),IFERROR(INDEX($R419:$R1119,MATCH(SUBSTITUTE($I418,"-","",1),$K419:$K1119,0)),INDEX($R419:$R1119,MATCH($K418,$K419:$K1119,0)))))</f>
        <v/>
      </c>
      <c r="S418" s="35" t="str">
        <f t="shared" si="2"/>
        <v/>
      </c>
      <c r="T418" s="37" t="str">
        <f t="shared" si="3"/>
        <v/>
      </c>
      <c r="U418" s="38" t="str">
        <f t="shared" si="4"/>
        <v/>
      </c>
      <c r="V418" s="31" t="str">
        <f t="shared" si="5"/>
        <v/>
      </c>
      <c r="W418" s="39" t="str">
        <f>IFERROR(__xludf.DUMMYFUNCTION(" IF(Account!$F418&lt;&gt;"""", SPLIT(Account!$F418, "" ""), """")"),"")</f>
        <v/>
      </c>
      <c r="X418" s="40"/>
      <c r="Y418" s="40"/>
      <c r="Z418" s="40"/>
      <c r="AA418" s="40"/>
      <c r="AB418" s="40"/>
      <c r="AC418" s="40"/>
      <c r="AD418" s="40"/>
      <c r="AE418" s="40"/>
      <c r="AF418" s="40"/>
      <c r="AG418" s="40"/>
      <c r="AH418" s="40"/>
      <c r="AI418" s="40"/>
      <c r="AJ418" s="40"/>
      <c r="AK418" s="40"/>
    </row>
    <row r="419">
      <c r="A419" s="10"/>
      <c r="B419" s="10"/>
      <c r="C419" s="10"/>
      <c r="D419" s="10"/>
      <c r="E419" s="10"/>
      <c r="F419" s="12"/>
      <c r="G419" s="300"/>
      <c r="H419" s="10"/>
      <c r="I419" s="10"/>
      <c r="J419" s="10"/>
      <c r="K419" s="10"/>
      <c r="L419" s="12"/>
      <c r="M419" s="29" t="str">
        <f t="shared" si="1"/>
        <v/>
      </c>
      <c r="N419" s="31" t="str">
        <f>IFERROR(__xludf.DUMMYFUNCTION("IF(Account!$F419&lt;&gt;"""", VALUE(REGEXREPLACE($I419, ""\,"", ""."")), """")"),"")</f>
        <v/>
      </c>
      <c r="O419" s="33" t="str">
        <f>IF(Account!$F419&lt;&gt;"", DATEVALUE(MID($A419,4,3) &amp; LEFT($A419,3) &amp; RIGHT($A419,4)) + TIMEVALUE($B419), "")</f>
        <v/>
      </c>
      <c r="P419" s="34" t="str">
        <f>IF(Account!$F419&lt;&gt;"", DATEVALUE(MID($C419,4,3) &amp; LEFT($C419,3) &amp; RIGHT($C419,4)), "")</f>
        <v/>
      </c>
      <c r="Q419" s="35" t="str">
        <f t="array" ref="Q419">IF($R419&lt;&gt;"",IFERROR(INDEX(Investment!$A:$A,MATCH($R419,Investment!$H:$H,0))),)</f>
        <v/>
      </c>
      <c r="R419" s="36" t="str">
        <f t="array" ref="R419">IF(AND($Y419="change",$H419="EUR"),IF(AND($AA419="Crédit",$O419=$O420),$R420,IF(AND($AA419="Débit",$O419=$O418),$R418)),IF(OR(AND(OR($E419&lt;&gt;"",$M419=""),$N419&lt;&gt;0),$A419=""),IFERROR(INDEX(Investment!$H:$H,MATCH($E419,Investment!$F:$F,0))),IFERROR(INDEX($R420:$R1119,MATCH(SUBSTITUTE($I419,"-","",1),$K420:$K1119,0)),INDEX($R420:$R1119,MATCH($K419,$K420:$K1119,0)))))</f>
        <v/>
      </c>
      <c r="S419" s="35" t="str">
        <f t="shared" si="2"/>
        <v/>
      </c>
      <c r="T419" s="37" t="str">
        <f t="shared" si="3"/>
        <v/>
      </c>
      <c r="U419" s="38" t="str">
        <f t="shared" si="4"/>
        <v/>
      </c>
      <c r="V419" s="31" t="str">
        <f t="shared" si="5"/>
        <v/>
      </c>
      <c r="W419" s="39" t="str">
        <f>IFERROR(__xludf.DUMMYFUNCTION(" IF(Account!$F419&lt;&gt;"""", SPLIT(Account!$F419, "" ""), """")"),"")</f>
        <v/>
      </c>
      <c r="X419" s="40"/>
      <c r="Y419" s="40"/>
      <c r="Z419" s="40"/>
      <c r="AA419" s="40"/>
      <c r="AB419" s="40"/>
      <c r="AC419" s="40"/>
      <c r="AD419" s="40"/>
      <c r="AE419" s="40"/>
      <c r="AF419" s="40"/>
      <c r="AG419" s="40"/>
      <c r="AH419" s="40"/>
      <c r="AI419" s="40"/>
      <c r="AJ419" s="40"/>
      <c r="AK419" s="40"/>
    </row>
    <row r="420">
      <c r="A420" s="10"/>
      <c r="B420" s="10"/>
      <c r="C420" s="10"/>
      <c r="D420" s="10"/>
      <c r="E420" s="10"/>
      <c r="F420" s="12"/>
      <c r="G420" s="10"/>
      <c r="H420" s="10"/>
      <c r="I420" s="10"/>
      <c r="J420" s="10"/>
      <c r="K420" s="10"/>
      <c r="L420" s="12"/>
      <c r="M420" s="29" t="str">
        <f t="shared" si="1"/>
        <v/>
      </c>
      <c r="N420" s="31" t="str">
        <f>IFERROR(__xludf.DUMMYFUNCTION("IF(Account!$F420&lt;&gt;"""", VALUE(REGEXREPLACE($I420, ""\,"", ""."")), """")"),"")</f>
        <v/>
      </c>
      <c r="O420" s="33" t="str">
        <f>IF(Account!$F420&lt;&gt;"", DATEVALUE(MID($A420,4,3) &amp; LEFT($A420,3) &amp; RIGHT($A420,4)) + TIMEVALUE($B420), "")</f>
        <v/>
      </c>
      <c r="P420" s="34" t="str">
        <f>IF(Account!$F420&lt;&gt;"", DATEVALUE(MID($C420,4,3) &amp; LEFT($C420,3) &amp; RIGHT($C420,4)), "")</f>
        <v/>
      </c>
      <c r="Q420" s="35" t="str">
        <f t="array" ref="Q420">IF($R420&lt;&gt;"",IFERROR(INDEX(Investment!$A:$A,MATCH($R420,Investment!$H:$H,0))),)</f>
        <v/>
      </c>
      <c r="R420" s="36" t="str">
        <f t="array" ref="R420">IF(AND($Y420="change",$H420="EUR"),IF(AND($AA420="Crédit",$O420=$O421),$R421,IF(AND($AA420="Débit",$O420=$O419),$R419)),IF(OR(AND(OR($E420&lt;&gt;"",$M420=""),$N420&lt;&gt;0),$A420=""),IFERROR(INDEX(Investment!$H:$H,MATCH($E420,Investment!$F:$F,0))),IFERROR(INDEX($R421:$R1119,MATCH(SUBSTITUTE($I420,"-","",1),$K421:$K1119,0)),INDEX($R421:$R1119,MATCH($K420,$K421:$K1119,0)))))</f>
        <v/>
      </c>
      <c r="S420" s="35" t="str">
        <f t="shared" si="2"/>
        <v/>
      </c>
      <c r="T420" s="37" t="str">
        <f t="shared" si="3"/>
        <v/>
      </c>
      <c r="U420" s="38" t="str">
        <f t="shared" si="4"/>
        <v/>
      </c>
      <c r="V420" s="31" t="str">
        <f t="shared" si="5"/>
        <v/>
      </c>
      <c r="W420" s="39" t="str">
        <f>IFERROR(__xludf.DUMMYFUNCTION(" IF(Account!$F420&lt;&gt;"""", SPLIT(Account!$F420, "" ""), """")"),"")</f>
        <v/>
      </c>
      <c r="X420" s="40"/>
      <c r="Y420" s="40"/>
      <c r="Z420" s="40"/>
      <c r="AA420" s="40"/>
      <c r="AB420" s="40"/>
      <c r="AC420" s="40"/>
      <c r="AD420" s="40"/>
      <c r="AE420" s="40"/>
      <c r="AF420" s="40"/>
      <c r="AG420" s="40"/>
      <c r="AH420" s="40"/>
      <c r="AI420" s="40"/>
      <c r="AJ420" s="40"/>
      <c r="AK420" s="40"/>
    </row>
    <row r="421">
      <c r="A421" s="10"/>
      <c r="B421" s="10"/>
      <c r="C421" s="10"/>
      <c r="D421" s="10"/>
      <c r="E421" s="10"/>
      <c r="F421" s="12"/>
      <c r="G421" s="300"/>
      <c r="H421" s="10"/>
      <c r="I421" s="10"/>
      <c r="J421" s="10"/>
      <c r="K421" s="10"/>
      <c r="L421" s="12"/>
      <c r="M421" s="29" t="str">
        <f t="shared" si="1"/>
        <v/>
      </c>
      <c r="N421" s="31" t="str">
        <f>IFERROR(__xludf.DUMMYFUNCTION("IF(Account!$F421&lt;&gt;"""", VALUE(REGEXREPLACE($I421, ""\,"", ""."")), """")"),"")</f>
        <v/>
      </c>
      <c r="O421" s="33" t="str">
        <f>IF(Account!$F421&lt;&gt;"", DATEVALUE(MID($A421,4,3) &amp; LEFT($A421,3) &amp; RIGHT($A421,4)) + TIMEVALUE($B421), "")</f>
        <v/>
      </c>
      <c r="P421" s="34" t="str">
        <f>IF(Account!$F421&lt;&gt;"", DATEVALUE(MID($C421,4,3) &amp; LEFT($C421,3) &amp; RIGHT($C421,4)), "")</f>
        <v/>
      </c>
      <c r="Q421" s="35" t="str">
        <f t="array" ref="Q421">IF($R421&lt;&gt;"",IFERROR(INDEX(Investment!$A:$A,MATCH($R421,Investment!$H:$H,0))),)</f>
        <v/>
      </c>
      <c r="R421" s="36" t="str">
        <f t="array" ref="R421">IF(AND($Y421="change",$H421="EUR"),IF(AND($AA421="Crédit",$O421=$O422),$R422,IF(AND($AA421="Débit",$O421=$O420),$R420)),IF(OR(AND(OR($E421&lt;&gt;"",$M421=""),$N421&lt;&gt;0),$A421=""),IFERROR(INDEX(Investment!$H:$H,MATCH($E421,Investment!$F:$F,0))),IFERROR(INDEX($R422:$R1119,MATCH(SUBSTITUTE($I421,"-","",1),$K422:$K1119,0)),INDEX($R422:$R1119,MATCH($K421,$K422:$K1119,0)))))</f>
        <v/>
      </c>
      <c r="S421" s="35" t="str">
        <f t="shared" si="2"/>
        <v/>
      </c>
      <c r="T421" s="37" t="str">
        <f t="shared" si="3"/>
        <v/>
      </c>
      <c r="U421" s="38" t="str">
        <f t="shared" si="4"/>
        <v/>
      </c>
      <c r="V421" s="31" t="str">
        <f t="shared" si="5"/>
        <v/>
      </c>
      <c r="W421" s="39" t="str">
        <f>IFERROR(__xludf.DUMMYFUNCTION(" IF(Account!$F421&lt;&gt;"""", SPLIT(Account!$F421, "" ""), """")"),"")</f>
        <v/>
      </c>
      <c r="X421" s="40"/>
      <c r="Y421" s="40"/>
      <c r="Z421" s="40"/>
      <c r="AA421" s="40"/>
      <c r="AB421" s="40"/>
      <c r="AC421" s="40"/>
      <c r="AD421" s="40"/>
      <c r="AE421" s="40"/>
      <c r="AF421" s="40"/>
      <c r="AG421" s="40"/>
      <c r="AH421" s="40"/>
      <c r="AI421" s="40"/>
      <c r="AJ421" s="40"/>
      <c r="AK421" s="40"/>
    </row>
    <row r="422">
      <c r="A422" s="10"/>
      <c r="B422" s="10"/>
      <c r="C422" s="10"/>
      <c r="D422" s="10"/>
      <c r="E422" s="10"/>
      <c r="F422" s="12"/>
      <c r="G422" s="10"/>
      <c r="H422" s="10"/>
      <c r="I422" s="10"/>
      <c r="J422" s="10"/>
      <c r="K422" s="10"/>
      <c r="L422" s="12"/>
      <c r="M422" s="29" t="str">
        <f t="shared" si="1"/>
        <v/>
      </c>
      <c r="N422" s="31" t="str">
        <f>IFERROR(__xludf.DUMMYFUNCTION("IF(Account!$F422&lt;&gt;"""", VALUE(REGEXREPLACE($I422, ""\,"", ""."")), """")"),"")</f>
        <v/>
      </c>
      <c r="O422" s="33" t="str">
        <f>IF(Account!$F422&lt;&gt;"", DATEVALUE(MID($A422,4,3) &amp; LEFT($A422,3) &amp; RIGHT($A422,4)) + TIMEVALUE($B422), "")</f>
        <v/>
      </c>
      <c r="P422" s="34" t="str">
        <f>IF(Account!$F422&lt;&gt;"", DATEVALUE(MID($C422,4,3) &amp; LEFT($C422,3) &amp; RIGHT($C422,4)), "")</f>
        <v/>
      </c>
      <c r="Q422" s="35" t="str">
        <f t="array" ref="Q422">IF($R422&lt;&gt;"",IFERROR(INDEX(Investment!$A:$A,MATCH($R422,Investment!$H:$H,0))),)</f>
        <v/>
      </c>
      <c r="R422" s="36" t="str">
        <f t="array" ref="R422">IF(AND($Y422="change",$H422="EUR"),IF(AND($AA422="Crédit",$O422=$O423),$R423,IF(AND($AA422="Débit",$O422=$O421),$R421)),IF(OR(AND(OR($E422&lt;&gt;"",$M422=""),$N422&lt;&gt;0),$A422=""),IFERROR(INDEX(Investment!$H:$H,MATCH($E422,Investment!$F:$F,0))),IFERROR(INDEX($R423:$R1119,MATCH(SUBSTITUTE($I422,"-","",1),$K423:$K1119,0)),INDEX($R423:$R1119,MATCH($K422,$K423:$K1119,0)))))</f>
        <v/>
      </c>
      <c r="S422" s="35" t="str">
        <f t="shared" si="2"/>
        <v/>
      </c>
      <c r="T422" s="37" t="str">
        <f t="shared" si="3"/>
        <v/>
      </c>
      <c r="U422" s="38" t="str">
        <f t="shared" si="4"/>
        <v/>
      </c>
      <c r="V422" s="31" t="str">
        <f t="shared" si="5"/>
        <v/>
      </c>
      <c r="W422" s="39" t="str">
        <f>IFERROR(__xludf.DUMMYFUNCTION(" IF(Account!$F422&lt;&gt;"""", SPLIT(Account!$F422, "" ""), """")"),"")</f>
        <v/>
      </c>
      <c r="X422" s="40"/>
      <c r="Y422" s="40"/>
      <c r="Z422" s="40"/>
      <c r="AA422" s="40"/>
      <c r="AB422" s="40"/>
      <c r="AC422" s="40"/>
      <c r="AD422" s="40"/>
      <c r="AE422" s="40"/>
      <c r="AF422" s="40"/>
      <c r="AG422" s="40"/>
      <c r="AH422" s="40"/>
      <c r="AI422" s="40"/>
      <c r="AJ422" s="40"/>
      <c r="AK422" s="40"/>
    </row>
    <row r="423">
      <c r="A423" s="10"/>
      <c r="B423" s="10"/>
      <c r="C423" s="10"/>
      <c r="D423" s="10"/>
      <c r="E423" s="10"/>
      <c r="F423" s="12"/>
      <c r="G423" s="300"/>
      <c r="H423" s="10"/>
      <c r="I423" s="10"/>
      <c r="J423" s="10"/>
      <c r="K423" s="10"/>
      <c r="L423" s="12"/>
      <c r="M423" s="29" t="str">
        <f t="shared" si="1"/>
        <v/>
      </c>
      <c r="N423" s="31" t="str">
        <f>IFERROR(__xludf.DUMMYFUNCTION("IF(Account!$F423&lt;&gt;"""", VALUE(REGEXREPLACE($I423, ""\,"", ""."")), """")"),"")</f>
        <v/>
      </c>
      <c r="O423" s="33" t="str">
        <f>IF(Account!$F423&lt;&gt;"", DATEVALUE(MID($A423,4,3) &amp; LEFT($A423,3) &amp; RIGHT($A423,4)) + TIMEVALUE($B423), "")</f>
        <v/>
      </c>
      <c r="P423" s="34" t="str">
        <f>IF(Account!$F423&lt;&gt;"", DATEVALUE(MID($C423,4,3) &amp; LEFT($C423,3) &amp; RIGHT($C423,4)), "")</f>
        <v/>
      </c>
      <c r="Q423" s="35" t="str">
        <f t="array" ref="Q423">IF($R423&lt;&gt;"",IFERROR(INDEX(Investment!$A:$A,MATCH($R423,Investment!$H:$H,0))),)</f>
        <v/>
      </c>
      <c r="R423" s="36" t="str">
        <f t="array" ref="R423">IF(AND($Y423="change",$H423="EUR"),IF(AND($AA423="Crédit",$O423=$O424),$R424,IF(AND($AA423="Débit",$O423=$O422),$R422)),IF(OR(AND(OR($E423&lt;&gt;"",$M423=""),$N423&lt;&gt;0),$A423=""),IFERROR(INDEX(Investment!$H:$H,MATCH($E423,Investment!$F:$F,0))),IFERROR(INDEX($R424:$R1119,MATCH(SUBSTITUTE($I423,"-","",1),$K424:$K1119,0)),INDEX($R424:$R1119,MATCH($K423,$K424:$K1119,0)))))</f>
        <v/>
      </c>
      <c r="S423" s="35" t="str">
        <f t="shared" si="2"/>
        <v/>
      </c>
      <c r="T423" s="37" t="str">
        <f t="shared" si="3"/>
        <v/>
      </c>
      <c r="U423" s="38" t="str">
        <f t="shared" si="4"/>
        <v/>
      </c>
      <c r="V423" s="31" t="str">
        <f t="shared" si="5"/>
        <v/>
      </c>
      <c r="W423" s="39" t="str">
        <f>IFERROR(__xludf.DUMMYFUNCTION(" IF(Account!$F423&lt;&gt;"""", SPLIT(Account!$F423, "" ""), """")"),"")</f>
        <v/>
      </c>
      <c r="X423" s="40"/>
      <c r="Y423" s="40"/>
      <c r="Z423" s="40"/>
      <c r="AA423" s="40"/>
      <c r="AB423" s="40"/>
      <c r="AC423" s="40"/>
      <c r="AD423" s="40"/>
      <c r="AE423" s="40"/>
      <c r="AF423" s="40"/>
      <c r="AG423" s="40"/>
      <c r="AH423" s="40"/>
      <c r="AI423" s="40"/>
      <c r="AJ423" s="40"/>
      <c r="AK423" s="40"/>
    </row>
    <row r="424">
      <c r="A424" s="10"/>
      <c r="B424" s="10"/>
      <c r="C424" s="10"/>
      <c r="D424" s="10"/>
      <c r="E424" s="10"/>
      <c r="F424" s="12"/>
      <c r="G424" s="10"/>
      <c r="H424" s="10"/>
      <c r="I424" s="10"/>
      <c r="J424" s="10"/>
      <c r="K424" s="10"/>
      <c r="L424" s="12"/>
      <c r="M424" s="29" t="str">
        <f t="shared" si="1"/>
        <v/>
      </c>
      <c r="N424" s="31" t="str">
        <f>IFERROR(__xludf.DUMMYFUNCTION("IF(Account!$F424&lt;&gt;"""", VALUE(REGEXREPLACE($I424, ""\,"", ""."")), """")"),"")</f>
        <v/>
      </c>
      <c r="O424" s="33" t="str">
        <f>IF(Account!$F424&lt;&gt;"", DATEVALUE(MID($A424,4,3) &amp; LEFT($A424,3) &amp; RIGHT($A424,4)) + TIMEVALUE($B424), "")</f>
        <v/>
      </c>
      <c r="P424" s="34" t="str">
        <f>IF(Account!$F424&lt;&gt;"", DATEVALUE(MID($C424,4,3) &amp; LEFT($C424,3) &amp; RIGHT($C424,4)), "")</f>
        <v/>
      </c>
      <c r="Q424" s="35" t="str">
        <f t="array" ref="Q424">IF($R424&lt;&gt;"",IFERROR(INDEX(Investment!$A:$A,MATCH($R424,Investment!$H:$H,0))),)</f>
        <v/>
      </c>
      <c r="R424" s="36" t="str">
        <f t="array" ref="R424">IF(AND($Y424="change",$H424="EUR"),IF(AND($AA424="Crédit",$O424=$O425),$R425,IF(AND($AA424="Débit",$O424=$O423),$R423)),IF(OR(AND(OR($E424&lt;&gt;"",$M424=""),$N424&lt;&gt;0),$A424=""),IFERROR(INDEX(Investment!$H:$H,MATCH($E424,Investment!$F:$F,0))),IFERROR(INDEX($R425:$R1119,MATCH(SUBSTITUTE($I424,"-","",1),$K425:$K1119,0)),INDEX($R425:$R1119,MATCH($K424,$K425:$K1119,0)))))</f>
        <v/>
      </c>
      <c r="S424" s="35" t="str">
        <f t="shared" si="2"/>
        <v/>
      </c>
      <c r="T424" s="37" t="str">
        <f t="shared" si="3"/>
        <v/>
      </c>
      <c r="U424" s="38" t="str">
        <f t="shared" si="4"/>
        <v/>
      </c>
      <c r="V424" s="31" t="str">
        <f t="shared" si="5"/>
        <v/>
      </c>
      <c r="W424" s="39" t="str">
        <f>IFERROR(__xludf.DUMMYFUNCTION(" IF(Account!$F424&lt;&gt;"""", SPLIT(Account!$F424, "" ""), """")"),"")</f>
        <v/>
      </c>
      <c r="X424" s="40"/>
      <c r="Y424" s="40"/>
      <c r="Z424" s="40"/>
      <c r="AA424" s="40"/>
      <c r="AB424" s="40"/>
      <c r="AC424" s="40"/>
      <c r="AD424" s="40"/>
      <c r="AE424" s="40"/>
      <c r="AF424" s="40"/>
      <c r="AG424" s="40"/>
      <c r="AH424" s="40"/>
      <c r="AI424" s="40"/>
      <c r="AJ424" s="40"/>
      <c r="AK424" s="40"/>
    </row>
    <row r="425">
      <c r="A425" s="10"/>
      <c r="B425" s="10"/>
      <c r="C425" s="10"/>
      <c r="D425" s="10"/>
      <c r="E425" s="10"/>
      <c r="F425" s="12"/>
      <c r="G425" s="300"/>
      <c r="H425" s="10"/>
      <c r="I425" s="10"/>
      <c r="J425" s="10"/>
      <c r="K425" s="10"/>
      <c r="L425" s="12"/>
      <c r="M425" s="29" t="str">
        <f t="shared" si="1"/>
        <v/>
      </c>
      <c r="N425" s="31" t="str">
        <f>IFERROR(__xludf.DUMMYFUNCTION("IF(Account!$F425&lt;&gt;"""", VALUE(REGEXREPLACE($I425, ""\,"", ""."")), """")"),"")</f>
        <v/>
      </c>
      <c r="O425" s="33" t="str">
        <f>IF(Account!$F425&lt;&gt;"", DATEVALUE(MID($A425,4,3) &amp; LEFT($A425,3) &amp; RIGHT($A425,4)) + TIMEVALUE($B425), "")</f>
        <v/>
      </c>
      <c r="P425" s="34" t="str">
        <f>IF(Account!$F425&lt;&gt;"", DATEVALUE(MID($C425,4,3) &amp; LEFT($C425,3) &amp; RIGHT($C425,4)), "")</f>
        <v/>
      </c>
      <c r="Q425" s="35" t="str">
        <f t="array" ref="Q425">IF($R425&lt;&gt;"",IFERROR(INDEX(Investment!$A:$A,MATCH($R425,Investment!$H:$H,0))),)</f>
        <v/>
      </c>
      <c r="R425" s="36" t="str">
        <f t="array" ref="R425">IF(AND($Y425="change",$H425="EUR"),IF(AND($AA425="Crédit",$O425=$O426),$R426,IF(AND($AA425="Débit",$O425=$O424),$R424)),IF(OR(AND(OR($E425&lt;&gt;"",$M425=""),$N425&lt;&gt;0),$A425=""),IFERROR(INDEX(Investment!$H:$H,MATCH($E425,Investment!$F:$F,0))),IFERROR(INDEX($R426:$R1119,MATCH(SUBSTITUTE($I425,"-","",1),$K426:$K1119,0)),INDEX($R426:$R1119,MATCH($K425,$K426:$K1119,0)))))</f>
        <v/>
      </c>
      <c r="S425" s="35" t="str">
        <f t="shared" si="2"/>
        <v/>
      </c>
      <c r="T425" s="37" t="str">
        <f t="shared" si="3"/>
        <v/>
      </c>
      <c r="U425" s="38" t="str">
        <f t="shared" si="4"/>
        <v/>
      </c>
      <c r="V425" s="31" t="str">
        <f t="shared" si="5"/>
        <v/>
      </c>
      <c r="W425" s="39" t="str">
        <f>IFERROR(__xludf.DUMMYFUNCTION(" IF(Account!$F425&lt;&gt;"""", SPLIT(Account!$F425, "" ""), """")"),"")</f>
        <v/>
      </c>
      <c r="X425" s="40"/>
      <c r="Y425" s="40"/>
      <c r="Z425" s="40"/>
      <c r="AA425" s="40"/>
      <c r="AB425" s="40"/>
      <c r="AC425" s="40"/>
      <c r="AD425" s="40"/>
      <c r="AE425" s="40"/>
      <c r="AF425" s="40"/>
      <c r="AG425" s="40"/>
      <c r="AH425" s="40"/>
      <c r="AI425" s="40"/>
      <c r="AJ425" s="40"/>
      <c r="AK425" s="40"/>
    </row>
    <row r="426">
      <c r="A426" s="10"/>
      <c r="B426" s="10"/>
      <c r="C426" s="10"/>
      <c r="D426" s="10"/>
      <c r="E426" s="10"/>
      <c r="F426" s="12"/>
      <c r="G426" s="10"/>
      <c r="H426" s="10"/>
      <c r="I426" s="10"/>
      <c r="J426" s="10"/>
      <c r="K426" s="10"/>
      <c r="L426" s="12"/>
      <c r="M426" s="29" t="str">
        <f t="shared" si="1"/>
        <v/>
      </c>
      <c r="N426" s="31" t="str">
        <f>IFERROR(__xludf.DUMMYFUNCTION("IF(Account!$F426&lt;&gt;"""", VALUE(REGEXREPLACE($I426, ""\,"", ""."")), """")"),"")</f>
        <v/>
      </c>
      <c r="O426" s="33" t="str">
        <f>IF(Account!$F426&lt;&gt;"", DATEVALUE(MID($A426,4,3) &amp; LEFT($A426,3) &amp; RIGHT($A426,4)) + TIMEVALUE($B426), "")</f>
        <v/>
      </c>
      <c r="P426" s="34" t="str">
        <f>IF(Account!$F426&lt;&gt;"", DATEVALUE(MID($C426,4,3) &amp; LEFT($C426,3) &amp; RIGHT($C426,4)), "")</f>
        <v/>
      </c>
      <c r="Q426" s="35" t="str">
        <f t="array" ref="Q426">IF($R426&lt;&gt;"",IFERROR(INDEX(Investment!$A:$A,MATCH($R426,Investment!$H:$H,0))),)</f>
        <v/>
      </c>
      <c r="R426" s="36" t="str">
        <f t="array" ref="R426">IF(AND($Y426="change",$H426="EUR"),IF(AND($AA426="Crédit",$O426=$O427),$R427,IF(AND($AA426="Débit",$O426=$O425),$R425)),IF(OR(AND(OR($E426&lt;&gt;"",$M426=""),$N426&lt;&gt;0),$A426=""),IFERROR(INDEX(Investment!$H:$H,MATCH($E426,Investment!$F:$F,0))),IFERROR(INDEX($R427:$R1119,MATCH(SUBSTITUTE($I426,"-","",1),$K427:$K1119,0)),INDEX($R427:$R1119,MATCH($K426,$K427:$K1119,0)))))</f>
        <v/>
      </c>
      <c r="S426" s="35" t="str">
        <f t="shared" si="2"/>
        <v/>
      </c>
      <c r="T426" s="37" t="str">
        <f t="shared" si="3"/>
        <v/>
      </c>
      <c r="U426" s="38" t="str">
        <f t="shared" si="4"/>
        <v/>
      </c>
      <c r="V426" s="31" t="str">
        <f t="shared" si="5"/>
        <v/>
      </c>
      <c r="W426" s="39" t="str">
        <f>IFERROR(__xludf.DUMMYFUNCTION(" IF(Account!$F426&lt;&gt;"""", SPLIT(Account!$F426, "" ""), """")"),"")</f>
        <v/>
      </c>
      <c r="X426" s="40"/>
      <c r="Y426" s="40"/>
      <c r="Z426" s="40"/>
      <c r="AA426" s="40"/>
      <c r="AB426" s="40"/>
      <c r="AC426" s="40"/>
      <c r="AD426" s="40"/>
      <c r="AE426" s="40"/>
      <c r="AF426" s="40"/>
      <c r="AG426" s="40"/>
      <c r="AH426" s="40"/>
      <c r="AI426" s="40"/>
      <c r="AJ426" s="40"/>
      <c r="AK426" s="40"/>
    </row>
    <row r="427">
      <c r="A427" s="10"/>
      <c r="B427" s="10"/>
      <c r="C427" s="10"/>
      <c r="D427" s="10"/>
      <c r="E427" s="10"/>
      <c r="F427" s="12"/>
      <c r="G427" s="300"/>
      <c r="H427" s="10"/>
      <c r="I427" s="10"/>
      <c r="J427" s="10"/>
      <c r="K427" s="10"/>
      <c r="L427" s="12"/>
      <c r="M427" s="29" t="str">
        <f t="shared" si="1"/>
        <v/>
      </c>
      <c r="N427" s="31" t="str">
        <f>IFERROR(__xludf.DUMMYFUNCTION("IF(Account!$F427&lt;&gt;"""", VALUE(REGEXREPLACE($I427, ""\,"", ""."")), """")"),"")</f>
        <v/>
      </c>
      <c r="O427" s="33" t="str">
        <f>IF(Account!$F427&lt;&gt;"", DATEVALUE(MID($A427,4,3) &amp; LEFT($A427,3) &amp; RIGHT($A427,4)) + TIMEVALUE($B427), "")</f>
        <v/>
      </c>
      <c r="P427" s="34" t="str">
        <f>IF(Account!$F427&lt;&gt;"", DATEVALUE(MID($C427,4,3) &amp; LEFT($C427,3) &amp; RIGHT($C427,4)), "")</f>
        <v/>
      </c>
      <c r="Q427" s="35" t="str">
        <f t="array" ref="Q427">IF($R427&lt;&gt;"",IFERROR(INDEX(Investment!$A:$A,MATCH($R427,Investment!$H:$H,0))),)</f>
        <v/>
      </c>
      <c r="R427" s="36" t="str">
        <f t="array" ref="R427">IF(AND($Y427="change",$H427="EUR"),IF(AND($AA427="Crédit",$O427=$O428),$R428,IF(AND($AA427="Débit",$O427=$O426),$R426)),IF(OR(AND(OR($E427&lt;&gt;"",$M427=""),$N427&lt;&gt;0),$A427=""),IFERROR(INDEX(Investment!$H:$H,MATCH($E427,Investment!$F:$F,0))),IFERROR(INDEX($R428:$R1119,MATCH(SUBSTITUTE($I427,"-","",1),$K428:$K1119,0)),INDEX($R428:$R1119,MATCH($K427,$K428:$K1119,0)))))</f>
        <v/>
      </c>
      <c r="S427" s="35" t="str">
        <f t="shared" si="2"/>
        <v/>
      </c>
      <c r="T427" s="37" t="str">
        <f t="shared" si="3"/>
        <v/>
      </c>
      <c r="U427" s="38" t="str">
        <f t="shared" si="4"/>
        <v/>
      </c>
      <c r="V427" s="31" t="str">
        <f t="shared" si="5"/>
        <v/>
      </c>
      <c r="W427" s="39" t="str">
        <f>IFERROR(__xludf.DUMMYFUNCTION(" IF(Account!$F427&lt;&gt;"""", SPLIT(Account!$F427, "" ""), """")"),"")</f>
        <v/>
      </c>
      <c r="X427" s="40"/>
      <c r="Y427" s="40"/>
      <c r="Z427" s="40"/>
      <c r="AA427" s="40"/>
      <c r="AB427" s="40"/>
      <c r="AC427" s="40"/>
      <c r="AD427" s="40"/>
      <c r="AE427" s="40"/>
      <c r="AF427" s="40"/>
      <c r="AG427" s="40"/>
      <c r="AH427" s="40"/>
      <c r="AI427" s="40"/>
      <c r="AJ427" s="40"/>
      <c r="AK427" s="40"/>
    </row>
    <row r="428">
      <c r="A428" s="10"/>
      <c r="B428" s="10"/>
      <c r="C428" s="10"/>
      <c r="D428" s="10"/>
      <c r="E428" s="10"/>
      <c r="F428" s="12"/>
      <c r="G428" s="10"/>
      <c r="H428" s="10"/>
      <c r="I428" s="10"/>
      <c r="J428" s="10"/>
      <c r="K428" s="10"/>
      <c r="L428" s="12"/>
      <c r="M428" s="29" t="str">
        <f t="shared" si="1"/>
        <v/>
      </c>
      <c r="N428" s="31" t="str">
        <f>IFERROR(__xludf.DUMMYFUNCTION("IF(Account!$F428&lt;&gt;"""", VALUE(REGEXREPLACE($I428, ""\,"", ""."")), """")"),"")</f>
        <v/>
      </c>
      <c r="O428" s="33" t="str">
        <f>IF(Account!$F428&lt;&gt;"", DATEVALUE(MID($A428,4,3) &amp; LEFT($A428,3) &amp; RIGHT($A428,4)) + TIMEVALUE($B428), "")</f>
        <v/>
      </c>
      <c r="P428" s="34" t="str">
        <f>IF(Account!$F428&lt;&gt;"", DATEVALUE(MID($C428,4,3) &amp; LEFT($C428,3) &amp; RIGHT($C428,4)), "")</f>
        <v/>
      </c>
      <c r="Q428" s="35" t="str">
        <f t="array" ref="Q428">IF($R428&lt;&gt;"",IFERROR(INDEX(Investment!$A:$A,MATCH($R428,Investment!$H:$H,0))),)</f>
        <v/>
      </c>
      <c r="R428" s="36" t="str">
        <f t="array" ref="R428">IF(AND($Y428="change",$H428="EUR"),IF(AND($AA428="Crédit",$O428=$O429),$R429,IF(AND($AA428="Débit",$O428=$O427),$R427)),IF(OR(AND(OR($E428&lt;&gt;"",$M428=""),$N428&lt;&gt;0),$A428=""),IFERROR(INDEX(Investment!$H:$H,MATCH($E428,Investment!$F:$F,0))),IFERROR(INDEX($R429:$R1119,MATCH(SUBSTITUTE($I428,"-","",1),$K429:$K1119,0)),INDEX($R429:$R1119,MATCH($K428,$K429:$K1119,0)))))</f>
        <v/>
      </c>
      <c r="S428" s="35" t="str">
        <f t="shared" si="2"/>
        <v/>
      </c>
      <c r="T428" s="37" t="str">
        <f t="shared" si="3"/>
        <v/>
      </c>
      <c r="U428" s="38" t="str">
        <f t="shared" si="4"/>
        <v/>
      </c>
      <c r="V428" s="31" t="str">
        <f t="shared" si="5"/>
        <v/>
      </c>
      <c r="W428" s="39" t="str">
        <f>IFERROR(__xludf.DUMMYFUNCTION(" IF(Account!$F428&lt;&gt;"""", SPLIT(Account!$F428, "" ""), """")"),"")</f>
        <v/>
      </c>
      <c r="X428" s="40"/>
      <c r="Y428" s="40"/>
      <c r="Z428" s="40"/>
      <c r="AA428" s="40"/>
      <c r="AB428" s="40"/>
      <c r="AC428" s="40"/>
      <c r="AD428" s="40"/>
      <c r="AE428" s="40"/>
      <c r="AF428" s="40"/>
      <c r="AG428" s="40"/>
      <c r="AH428" s="40"/>
      <c r="AI428" s="40"/>
      <c r="AJ428" s="40"/>
      <c r="AK428" s="40"/>
    </row>
    <row r="429">
      <c r="A429" s="10"/>
      <c r="B429" s="10"/>
      <c r="C429" s="10"/>
      <c r="D429" s="10"/>
      <c r="E429" s="10"/>
      <c r="F429" s="12"/>
      <c r="G429" s="300"/>
      <c r="H429" s="10"/>
      <c r="I429" s="10"/>
      <c r="J429" s="10"/>
      <c r="K429" s="10"/>
      <c r="L429" s="12"/>
      <c r="M429" s="29" t="str">
        <f t="shared" si="1"/>
        <v/>
      </c>
      <c r="N429" s="31" t="str">
        <f>IFERROR(__xludf.DUMMYFUNCTION("IF(Account!$F429&lt;&gt;"""", VALUE(REGEXREPLACE($I429, ""\,"", ""."")), """")"),"")</f>
        <v/>
      </c>
      <c r="O429" s="33" t="str">
        <f>IF(Account!$F429&lt;&gt;"", DATEVALUE(MID($A429,4,3) &amp; LEFT($A429,3) &amp; RIGHT($A429,4)) + TIMEVALUE($B429), "")</f>
        <v/>
      </c>
      <c r="P429" s="34" t="str">
        <f>IF(Account!$F429&lt;&gt;"", DATEVALUE(MID($C429,4,3) &amp; LEFT($C429,3) &amp; RIGHT($C429,4)), "")</f>
        <v/>
      </c>
      <c r="Q429" s="35" t="str">
        <f t="array" ref="Q429">IF($R429&lt;&gt;"",IFERROR(INDEX(Investment!$A:$A,MATCH($R429,Investment!$H:$H,0))),)</f>
        <v/>
      </c>
      <c r="R429" s="36" t="str">
        <f t="array" ref="R429">IF(AND($Y429="change",$H429="EUR"),IF(AND($AA429="Crédit",$O429=$O430),$R430,IF(AND($AA429="Débit",$O429=$O428),$R428)),IF(OR(AND(OR($E429&lt;&gt;"",$M429=""),$N429&lt;&gt;0),$A429=""),IFERROR(INDEX(Investment!$H:$H,MATCH($E429,Investment!$F:$F,0))),IFERROR(INDEX($R430:$R1119,MATCH(SUBSTITUTE($I429,"-","",1),$K430:$K1119,0)),INDEX($R430:$R1119,MATCH($K429,$K430:$K1119,0)))))</f>
        <v/>
      </c>
      <c r="S429" s="35" t="str">
        <f t="shared" si="2"/>
        <v/>
      </c>
      <c r="T429" s="37" t="str">
        <f t="shared" si="3"/>
        <v/>
      </c>
      <c r="U429" s="38" t="str">
        <f t="shared" si="4"/>
        <v/>
      </c>
      <c r="V429" s="31" t="str">
        <f t="shared" si="5"/>
        <v/>
      </c>
      <c r="W429" s="39" t="str">
        <f>IFERROR(__xludf.DUMMYFUNCTION(" IF(Account!$F429&lt;&gt;"""", SPLIT(Account!$F429, "" ""), """")"),"")</f>
        <v/>
      </c>
      <c r="X429" s="40"/>
      <c r="Y429" s="40"/>
      <c r="Z429" s="40"/>
      <c r="AA429" s="40"/>
      <c r="AB429" s="40"/>
      <c r="AC429" s="40"/>
      <c r="AD429" s="40"/>
      <c r="AE429" s="40"/>
      <c r="AF429" s="40"/>
      <c r="AG429" s="40"/>
      <c r="AH429" s="40"/>
      <c r="AI429" s="40"/>
      <c r="AJ429" s="40"/>
      <c r="AK429" s="40"/>
    </row>
    <row r="430">
      <c r="A430" s="10"/>
      <c r="B430" s="10"/>
      <c r="C430" s="10"/>
      <c r="D430" s="10"/>
      <c r="E430" s="10"/>
      <c r="F430" s="12"/>
      <c r="G430" s="300"/>
      <c r="H430" s="10"/>
      <c r="I430" s="10"/>
      <c r="J430" s="10"/>
      <c r="K430" s="10"/>
      <c r="L430" s="12"/>
      <c r="M430" s="29" t="str">
        <f t="shared" si="1"/>
        <v/>
      </c>
      <c r="N430" s="31" t="str">
        <f>IFERROR(__xludf.DUMMYFUNCTION("IF(Account!$F430&lt;&gt;"""", VALUE(REGEXREPLACE($I430, ""\,"", ""."")), """")"),"")</f>
        <v/>
      </c>
      <c r="O430" s="33" t="str">
        <f>IF(Account!$F430&lt;&gt;"", DATEVALUE(MID($A430,4,3) &amp; LEFT($A430,3) &amp; RIGHT($A430,4)) + TIMEVALUE($B430), "")</f>
        <v/>
      </c>
      <c r="P430" s="34" t="str">
        <f>IF(Account!$F430&lt;&gt;"", DATEVALUE(MID($C430,4,3) &amp; LEFT($C430,3) &amp; RIGHT($C430,4)), "")</f>
        <v/>
      </c>
      <c r="Q430" s="35" t="str">
        <f t="array" ref="Q430">IF($R430&lt;&gt;"",IFERROR(INDEX(Investment!$A:$A,MATCH($R430,Investment!$H:$H,0))),)</f>
        <v/>
      </c>
      <c r="R430" s="36" t="str">
        <f t="array" ref="R430">IF(AND($Y430="change",$H430="EUR"),IF(AND($AA430="Crédit",$O430=$O431),$R431,IF(AND($AA430="Débit",$O430=$O429),$R429)),IF(OR(AND(OR($E430&lt;&gt;"",$M430=""),$N430&lt;&gt;0),$A430=""),IFERROR(INDEX(Investment!$H:$H,MATCH($E430,Investment!$F:$F,0))),IFERROR(INDEX($R431:$R1119,MATCH(SUBSTITUTE($I430,"-","",1),$K431:$K1119,0)),INDEX($R431:$R1119,MATCH($K430,$K431:$K1119,0)))))</f>
        <v/>
      </c>
      <c r="S430" s="35" t="str">
        <f t="shared" si="2"/>
        <v/>
      </c>
      <c r="T430" s="37" t="str">
        <f t="shared" si="3"/>
        <v/>
      </c>
      <c r="U430" s="38" t="str">
        <f t="shared" si="4"/>
        <v/>
      </c>
      <c r="V430" s="31" t="str">
        <f t="shared" si="5"/>
        <v/>
      </c>
      <c r="W430" s="39" t="str">
        <f>IFERROR(__xludf.DUMMYFUNCTION(" IF(Account!$F430&lt;&gt;"""", SPLIT(Account!$F430, "" ""), """")"),"")</f>
        <v/>
      </c>
      <c r="X430" s="40"/>
      <c r="Y430" s="40"/>
      <c r="Z430" s="40"/>
      <c r="AA430" s="40"/>
      <c r="AB430" s="40"/>
      <c r="AC430" s="40"/>
      <c r="AD430" s="40"/>
      <c r="AE430" s="40"/>
      <c r="AF430" s="40"/>
      <c r="AG430" s="40"/>
      <c r="AH430" s="40"/>
      <c r="AI430" s="40"/>
      <c r="AJ430" s="40"/>
      <c r="AK430" s="40"/>
    </row>
    <row r="431">
      <c r="A431" s="10"/>
      <c r="B431" s="10"/>
      <c r="C431" s="10"/>
      <c r="D431" s="10"/>
      <c r="E431" s="10"/>
      <c r="F431" s="12"/>
      <c r="G431" s="300"/>
      <c r="H431" s="10"/>
      <c r="I431" s="10"/>
      <c r="J431" s="10"/>
      <c r="K431" s="10"/>
      <c r="L431" s="12"/>
      <c r="M431" s="29" t="str">
        <f t="shared" si="1"/>
        <v/>
      </c>
      <c r="N431" s="31" t="str">
        <f>IFERROR(__xludf.DUMMYFUNCTION("IF(Account!$F431&lt;&gt;"""", VALUE(REGEXREPLACE($I431, ""\,"", ""."")), """")"),"")</f>
        <v/>
      </c>
      <c r="O431" s="33" t="str">
        <f>IF(Account!$F431&lt;&gt;"", DATEVALUE(MID($A431,4,3) &amp; LEFT($A431,3) &amp; RIGHT($A431,4)) + TIMEVALUE($B431), "")</f>
        <v/>
      </c>
      <c r="P431" s="34" t="str">
        <f>IF(Account!$F431&lt;&gt;"", DATEVALUE(MID($C431,4,3) &amp; LEFT($C431,3) &amp; RIGHT($C431,4)), "")</f>
        <v/>
      </c>
      <c r="Q431" s="35" t="str">
        <f t="array" ref="Q431">IF($R431&lt;&gt;"",IFERROR(INDEX(Investment!$A:$A,MATCH($R431,Investment!$H:$H,0))),)</f>
        <v/>
      </c>
      <c r="R431" s="36" t="str">
        <f t="array" ref="R431">IF(AND($Y431="change",$H431="EUR"),IF(AND($AA431="Crédit",$O431=$O432),$R432,IF(AND($AA431="Débit",$O431=$O430),$R430)),IF(OR(AND(OR($E431&lt;&gt;"",$M431=""),$N431&lt;&gt;0),$A431=""),IFERROR(INDEX(Investment!$H:$H,MATCH($E431,Investment!$F:$F,0))),IFERROR(INDEX($R432:$R1119,MATCH(SUBSTITUTE($I431,"-","",1),$K432:$K1119,0)),INDEX($R432:$R1119,MATCH($K431,$K432:$K1119,0)))))</f>
        <v/>
      </c>
      <c r="S431" s="35" t="str">
        <f t="shared" si="2"/>
        <v/>
      </c>
      <c r="T431" s="37" t="str">
        <f t="shared" si="3"/>
        <v/>
      </c>
      <c r="U431" s="38" t="str">
        <f t="shared" si="4"/>
        <v/>
      </c>
      <c r="V431" s="31" t="str">
        <f t="shared" si="5"/>
        <v/>
      </c>
      <c r="W431" s="39" t="str">
        <f>IFERROR(__xludf.DUMMYFUNCTION(" IF(Account!$F431&lt;&gt;"""", SPLIT(Account!$F431, "" ""), """")"),"")</f>
        <v/>
      </c>
      <c r="X431" s="40"/>
      <c r="Y431" s="40"/>
      <c r="Z431" s="40"/>
      <c r="AA431" s="40"/>
      <c r="AB431" s="40"/>
      <c r="AC431" s="40"/>
      <c r="AD431" s="40"/>
      <c r="AE431" s="40"/>
      <c r="AF431" s="40"/>
      <c r="AG431" s="40"/>
      <c r="AH431" s="40"/>
      <c r="AI431" s="40"/>
      <c r="AJ431" s="40"/>
      <c r="AK431" s="40"/>
    </row>
    <row r="432">
      <c r="A432" s="10"/>
      <c r="B432" s="10"/>
      <c r="C432" s="10"/>
      <c r="D432" s="10"/>
      <c r="E432" s="10"/>
      <c r="F432" s="12"/>
      <c r="G432" s="300"/>
      <c r="H432" s="10"/>
      <c r="I432" s="10"/>
      <c r="J432" s="10"/>
      <c r="K432" s="10"/>
      <c r="L432" s="12"/>
      <c r="M432" s="29" t="str">
        <f t="shared" si="1"/>
        <v/>
      </c>
      <c r="N432" s="31" t="str">
        <f>IFERROR(__xludf.DUMMYFUNCTION("IF(Account!$F432&lt;&gt;"""", VALUE(REGEXREPLACE($I432, ""\,"", ""."")), """")"),"")</f>
        <v/>
      </c>
      <c r="O432" s="33" t="str">
        <f>IF(Account!$F432&lt;&gt;"", DATEVALUE(MID($A432,4,3) &amp; LEFT($A432,3) &amp; RIGHT($A432,4)) + TIMEVALUE($B432), "")</f>
        <v/>
      </c>
      <c r="P432" s="34" t="str">
        <f>IF(Account!$F432&lt;&gt;"", DATEVALUE(MID($C432,4,3) &amp; LEFT($C432,3) &amp; RIGHT($C432,4)), "")</f>
        <v/>
      </c>
      <c r="Q432" s="35" t="str">
        <f t="array" ref="Q432">IF($R432&lt;&gt;"",IFERROR(INDEX(Investment!$A:$A,MATCH($R432,Investment!$H:$H,0))),)</f>
        <v/>
      </c>
      <c r="R432" s="36" t="str">
        <f t="array" ref="R432">IF(AND($Y432="change",$H432="EUR"),IF(AND($AA432="Crédit",$O432=$O433),$R433,IF(AND($AA432="Débit",$O432=$O431),$R431)),IF(OR(AND(OR($E432&lt;&gt;"",$M432=""),$N432&lt;&gt;0),$A432=""),IFERROR(INDEX(Investment!$H:$H,MATCH($E432,Investment!$F:$F,0))),IFERROR(INDEX($R433:$R1119,MATCH(SUBSTITUTE($I432,"-","",1),$K433:$K1119,0)),INDEX($R433:$R1119,MATCH($K432,$K433:$K1119,0)))))</f>
        <v/>
      </c>
      <c r="S432" s="35" t="str">
        <f t="shared" si="2"/>
        <v/>
      </c>
      <c r="T432" s="37" t="str">
        <f t="shared" si="3"/>
        <v/>
      </c>
      <c r="U432" s="38" t="str">
        <f t="shared" si="4"/>
        <v/>
      </c>
      <c r="V432" s="31" t="str">
        <f t="shared" si="5"/>
        <v/>
      </c>
      <c r="W432" s="39" t="str">
        <f>IFERROR(__xludf.DUMMYFUNCTION(" IF(Account!$F432&lt;&gt;"""", SPLIT(Account!$F432, "" ""), """")"),"")</f>
        <v/>
      </c>
      <c r="X432" s="40"/>
      <c r="Y432" s="40"/>
      <c r="Z432" s="40"/>
      <c r="AA432" s="40"/>
      <c r="AB432" s="40"/>
      <c r="AC432" s="40"/>
      <c r="AD432" s="40"/>
      <c r="AE432" s="40"/>
      <c r="AF432" s="40"/>
      <c r="AG432" s="40"/>
      <c r="AH432" s="40"/>
      <c r="AI432" s="40"/>
      <c r="AJ432" s="40"/>
      <c r="AK432" s="40"/>
    </row>
    <row r="433">
      <c r="A433" s="10"/>
      <c r="B433" s="10"/>
      <c r="C433" s="10"/>
      <c r="D433" s="10"/>
      <c r="E433" s="10"/>
      <c r="F433" s="12"/>
      <c r="G433" s="300"/>
      <c r="H433" s="10"/>
      <c r="I433" s="10"/>
      <c r="J433" s="10"/>
      <c r="K433" s="10"/>
      <c r="L433" s="12"/>
      <c r="M433" s="29" t="str">
        <f t="shared" si="1"/>
        <v/>
      </c>
      <c r="N433" s="31" t="str">
        <f>IFERROR(__xludf.DUMMYFUNCTION("IF(Account!$F433&lt;&gt;"""", VALUE(REGEXREPLACE($I433, ""\,"", ""."")), """")"),"")</f>
        <v/>
      </c>
      <c r="O433" s="33" t="str">
        <f>IF(Account!$F433&lt;&gt;"", DATEVALUE(MID($A433,4,3) &amp; LEFT($A433,3) &amp; RIGHT($A433,4)) + TIMEVALUE($B433), "")</f>
        <v/>
      </c>
      <c r="P433" s="34" t="str">
        <f>IF(Account!$F433&lt;&gt;"", DATEVALUE(MID($C433,4,3) &amp; LEFT($C433,3) &amp; RIGHT($C433,4)), "")</f>
        <v/>
      </c>
      <c r="Q433" s="35" t="str">
        <f t="array" ref="Q433">IF($R433&lt;&gt;"",IFERROR(INDEX(Investment!$A:$A,MATCH($R433,Investment!$H:$H,0))),)</f>
        <v/>
      </c>
      <c r="R433" s="36" t="str">
        <f t="array" ref="R433">IF(AND($Y433="change",$H433="EUR"),IF(AND($AA433="Crédit",$O433=$O434),$R434,IF(AND($AA433="Débit",$O433=$O432),$R432)),IF(OR(AND(OR($E433&lt;&gt;"",$M433=""),$N433&lt;&gt;0),$A433=""),IFERROR(INDEX(Investment!$H:$H,MATCH($E433,Investment!$F:$F,0))),IFERROR(INDEX($R434:$R1119,MATCH(SUBSTITUTE($I433,"-","",1),$K434:$K1119,0)),INDEX($R434:$R1119,MATCH($K433,$K434:$K1119,0)))))</f>
        <v/>
      </c>
      <c r="S433" s="35" t="str">
        <f t="shared" si="2"/>
        <v/>
      </c>
      <c r="T433" s="37" t="str">
        <f t="shared" si="3"/>
        <v/>
      </c>
      <c r="U433" s="38" t="str">
        <f t="shared" si="4"/>
        <v/>
      </c>
      <c r="V433" s="31" t="str">
        <f t="shared" si="5"/>
        <v/>
      </c>
      <c r="W433" s="39" t="str">
        <f>IFERROR(__xludf.DUMMYFUNCTION(" IF(Account!$F433&lt;&gt;"""", SPLIT(Account!$F433, "" ""), """")"),"")</f>
        <v/>
      </c>
      <c r="X433" s="40"/>
      <c r="Y433" s="40"/>
      <c r="Z433" s="40"/>
      <c r="AA433" s="40"/>
      <c r="AB433" s="40"/>
      <c r="AC433" s="40"/>
      <c r="AD433" s="40"/>
      <c r="AE433" s="40"/>
      <c r="AF433" s="40"/>
      <c r="AG433" s="40"/>
      <c r="AH433" s="40"/>
      <c r="AI433" s="40"/>
      <c r="AJ433" s="40"/>
      <c r="AK433" s="40"/>
    </row>
    <row r="434">
      <c r="A434" s="10"/>
      <c r="B434" s="10"/>
      <c r="C434" s="10"/>
      <c r="D434" s="10"/>
      <c r="E434" s="10"/>
      <c r="F434" s="12"/>
      <c r="G434" s="300"/>
      <c r="H434" s="10"/>
      <c r="I434" s="10"/>
      <c r="J434" s="10"/>
      <c r="K434" s="10"/>
      <c r="L434" s="12"/>
      <c r="M434" s="29" t="str">
        <f t="shared" si="1"/>
        <v/>
      </c>
      <c r="N434" s="31" t="str">
        <f>IFERROR(__xludf.DUMMYFUNCTION("IF(Account!$F434&lt;&gt;"""", VALUE(REGEXREPLACE($I434, ""\,"", ""."")), """")"),"")</f>
        <v/>
      </c>
      <c r="O434" s="33" t="str">
        <f>IF(Account!$F434&lt;&gt;"", DATEVALUE(MID($A434,4,3) &amp; LEFT($A434,3) &amp; RIGHT($A434,4)) + TIMEVALUE($B434), "")</f>
        <v/>
      </c>
      <c r="P434" s="34" t="str">
        <f>IF(Account!$F434&lt;&gt;"", DATEVALUE(MID($C434,4,3) &amp; LEFT($C434,3) &amp; RIGHT($C434,4)), "")</f>
        <v/>
      </c>
      <c r="Q434" s="35" t="str">
        <f t="array" ref="Q434">IF($R434&lt;&gt;"",IFERROR(INDEX(Investment!$A:$A,MATCH($R434,Investment!$H:$H,0))),)</f>
        <v/>
      </c>
      <c r="R434" s="36" t="str">
        <f t="array" ref="R434">IF(AND($Y434="change",$H434="EUR"),IF(AND($AA434="Crédit",$O434=$O435),$R435,IF(AND($AA434="Débit",$O434=$O433),$R433)),IF(OR(AND(OR($E434&lt;&gt;"",$M434=""),$N434&lt;&gt;0),$A434=""),IFERROR(INDEX(Investment!$H:$H,MATCH($E434,Investment!$F:$F,0))),IFERROR(INDEX($R435:$R1119,MATCH(SUBSTITUTE($I434,"-","",1),$K435:$K1119,0)),INDEX($R435:$R1119,MATCH($K434,$K435:$K1119,0)))))</f>
        <v/>
      </c>
      <c r="S434" s="35" t="str">
        <f t="shared" si="2"/>
        <v/>
      </c>
      <c r="T434" s="37" t="str">
        <f t="shared" si="3"/>
        <v/>
      </c>
      <c r="U434" s="38" t="str">
        <f t="shared" si="4"/>
        <v/>
      </c>
      <c r="V434" s="31" t="str">
        <f t="shared" si="5"/>
        <v/>
      </c>
      <c r="W434" s="39" t="str">
        <f>IFERROR(__xludf.DUMMYFUNCTION(" IF(Account!$F434&lt;&gt;"""", SPLIT(Account!$F434, "" ""), """")"),"")</f>
        <v/>
      </c>
      <c r="X434" s="40"/>
      <c r="Y434" s="40"/>
      <c r="Z434" s="40"/>
      <c r="AA434" s="40"/>
      <c r="AB434" s="40"/>
      <c r="AC434" s="40"/>
      <c r="AD434" s="40"/>
      <c r="AE434" s="40"/>
      <c r="AF434" s="40"/>
      <c r="AG434" s="40"/>
      <c r="AH434" s="40"/>
      <c r="AI434" s="40"/>
      <c r="AJ434" s="40"/>
      <c r="AK434" s="40"/>
    </row>
    <row r="435">
      <c r="A435" s="10"/>
      <c r="B435" s="10"/>
      <c r="C435" s="10"/>
      <c r="D435" s="10"/>
      <c r="E435" s="10"/>
      <c r="F435" s="12"/>
      <c r="G435" s="10"/>
      <c r="H435" s="10"/>
      <c r="I435" s="10"/>
      <c r="J435" s="10"/>
      <c r="K435" s="10"/>
      <c r="L435" s="12"/>
      <c r="M435" s="29" t="str">
        <f t="shared" si="1"/>
        <v/>
      </c>
      <c r="N435" s="31" t="str">
        <f>IFERROR(__xludf.DUMMYFUNCTION("IF(Account!$F435&lt;&gt;"""", VALUE(REGEXREPLACE($I435, ""\,"", ""."")), """")"),"")</f>
        <v/>
      </c>
      <c r="O435" s="33" t="str">
        <f>IF(Account!$F435&lt;&gt;"", DATEVALUE(MID($A435,4,3) &amp; LEFT($A435,3) &amp; RIGHT($A435,4)) + TIMEVALUE($B435), "")</f>
        <v/>
      </c>
      <c r="P435" s="34" t="str">
        <f>IF(Account!$F435&lt;&gt;"", DATEVALUE(MID($C435,4,3) &amp; LEFT($C435,3) &amp; RIGHT($C435,4)), "")</f>
        <v/>
      </c>
      <c r="Q435" s="35" t="str">
        <f t="array" ref="Q435">IF($R435&lt;&gt;"",IFERROR(INDEX(Investment!$A:$A,MATCH($R435,Investment!$H:$H,0))),)</f>
        <v/>
      </c>
      <c r="R435" s="36" t="str">
        <f t="array" ref="R435">IF(AND($Y435="change",$H435="EUR"),IF(AND($AA435="Crédit",$O435=$O436),$R436,IF(AND($AA435="Débit",$O435=$O434),$R434)),IF(OR(AND(OR($E435&lt;&gt;"",$M435=""),$N435&lt;&gt;0),$A435=""),IFERROR(INDEX(Investment!$H:$H,MATCH($E435,Investment!$F:$F,0))),IFERROR(INDEX($R436:$R1119,MATCH(SUBSTITUTE($I435,"-","",1),$K436:$K1119,0)),INDEX($R436:$R1119,MATCH($K435,$K436:$K1119,0)))))</f>
        <v/>
      </c>
      <c r="S435" s="35" t="str">
        <f t="shared" si="2"/>
        <v/>
      </c>
      <c r="T435" s="37" t="str">
        <f t="shared" si="3"/>
        <v/>
      </c>
      <c r="U435" s="38" t="str">
        <f t="shared" si="4"/>
        <v/>
      </c>
      <c r="V435" s="31" t="str">
        <f t="shared" si="5"/>
        <v/>
      </c>
      <c r="W435" s="39" t="str">
        <f>IFERROR(__xludf.DUMMYFUNCTION(" IF(Account!$F435&lt;&gt;"""", SPLIT(Account!$F435, "" ""), """")"),"")</f>
        <v/>
      </c>
      <c r="X435" s="40"/>
      <c r="Y435" s="40"/>
      <c r="Z435" s="40"/>
      <c r="AA435" s="40"/>
      <c r="AB435" s="40"/>
      <c r="AC435" s="40"/>
      <c r="AD435" s="40"/>
      <c r="AE435" s="40"/>
      <c r="AF435" s="40"/>
      <c r="AG435" s="40"/>
      <c r="AH435" s="40"/>
      <c r="AI435" s="40"/>
      <c r="AJ435" s="40"/>
      <c r="AK435" s="40"/>
    </row>
    <row r="436">
      <c r="A436" s="10"/>
      <c r="B436" s="10"/>
      <c r="C436" s="10"/>
      <c r="D436" s="10"/>
      <c r="E436" s="10"/>
      <c r="F436" s="12"/>
      <c r="G436" s="300"/>
      <c r="H436" s="10"/>
      <c r="I436" s="10"/>
      <c r="J436" s="10"/>
      <c r="K436" s="10"/>
      <c r="L436" s="12"/>
      <c r="M436" s="29" t="str">
        <f t="shared" si="1"/>
        <v/>
      </c>
      <c r="N436" s="31" t="str">
        <f>IFERROR(__xludf.DUMMYFUNCTION("IF(Account!$F436&lt;&gt;"""", VALUE(REGEXREPLACE($I436, ""\,"", ""."")), """")"),"")</f>
        <v/>
      </c>
      <c r="O436" s="33" t="str">
        <f>IF(Account!$F436&lt;&gt;"", DATEVALUE(MID($A436,4,3) &amp; LEFT($A436,3) &amp; RIGHT($A436,4)) + TIMEVALUE($B436), "")</f>
        <v/>
      </c>
      <c r="P436" s="34" t="str">
        <f>IF(Account!$F436&lt;&gt;"", DATEVALUE(MID($C436,4,3) &amp; LEFT($C436,3) &amp; RIGHT($C436,4)), "")</f>
        <v/>
      </c>
      <c r="Q436" s="35" t="str">
        <f t="array" ref="Q436">IF($R436&lt;&gt;"",IFERROR(INDEX(Investment!$A:$A,MATCH($R436,Investment!$H:$H,0))),)</f>
        <v/>
      </c>
      <c r="R436" s="36" t="str">
        <f t="array" ref="R436">IF(AND($Y436="change",$H436="EUR"),IF(AND($AA436="Crédit",$O436=$O437),$R437,IF(AND($AA436="Débit",$O436=$O435),$R435)),IF(OR(AND(OR($E436&lt;&gt;"",$M436=""),$N436&lt;&gt;0),$A436=""),IFERROR(INDEX(Investment!$H:$H,MATCH($E436,Investment!$F:$F,0))),IFERROR(INDEX($R437:$R1119,MATCH(SUBSTITUTE($I436,"-","",1),$K437:$K1119,0)),INDEX($R437:$R1119,MATCH($K436,$K437:$K1119,0)))))</f>
        <v/>
      </c>
      <c r="S436" s="35" t="str">
        <f t="shared" si="2"/>
        <v/>
      </c>
      <c r="T436" s="37" t="str">
        <f t="shared" si="3"/>
        <v/>
      </c>
      <c r="U436" s="38" t="str">
        <f t="shared" si="4"/>
        <v/>
      </c>
      <c r="V436" s="31" t="str">
        <f t="shared" si="5"/>
        <v/>
      </c>
      <c r="W436" s="39" t="str">
        <f>IFERROR(__xludf.DUMMYFUNCTION(" IF(Account!$F436&lt;&gt;"""", SPLIT(Account!$F436, "" ""), """")"),"")</f>
        <v/>
      </c>
      <c r="X436" s="40"/>
      <c r="Y436" s="40"/>
      <c r="Z436" s="40"/>
      <c r="AA436" s="40"/>
      <c r="AB436" s="40"/>
      <c r="AC436" s="40"/>
      <c r="AD436" s="40"/>
      <c r="AE436" s="40"/>
      <c r="AF436" s="40"/>
      <c r="AG436" s="40"/>
      <c r="AH436" s="40"/>
      <c r="AI436" s="40"/>
      <c r="AJ436" s="40"/>
      <c r="AK436" s="40"/>
    </row>
    <row r="437">
      <c r="A437" s="10"/>
      <c r="B437" s="10"/>
      <c r="C437" s="10"/>
      <c r="D437" s="10"/>
      <c r="E437" s="10"/>
      <c r="F437" s="12"/>
      <c r="G437" s="300"/>
      <c r="H437" s="10"/>
      <c r="I437" s="10"/>
      <c r="J437" s="10"/>
      <c r="K437" s="10"/>
      <c r="L437" s="12"/>
      <c r="M437" s="29" t="str">
        <f t="shared" si="1"/>
        <v/>
      </c>
      <c r="N437" s="31" t="str">
        <f>IFERROR(__xludf.DUMMYFUNCTION("IF(Account!$F437&lt;&gt;"""", VALUE(REGEXREPLACE($I437, ""\,"", ""."")), """")"),"")</f>
        <v/>
      </c>
      <c r="O437" s="33" t="str">
        <f>IF(Account!$F437&lt;&gt;"", DATEVALUE(MID($A437,4,3) &amp; LEFT($A437,3) &amp; RIGHT($A437,4)) + TIMEVALUE($B437), "")</f>
        <v/>
      </c>
      <c r="P437" s="34" t="str">
        <f>IF(Account!$F437&lt;&gt;"", DATEVALUE(MID($C437,4,3) &amp; LEFT($C437,3) &amp; RIGHT($C437,4)), "")</f>
        <v/>
      </c>
      <c r="Q437" s="35" t="str">
        <f t="array" ref="Q437">IF($R437&lt;&gt;"",IFERROR(INDEX(Investment!$A:$A,MATCH($R437,Investment!$H:$H,0))),)</f>
        <v/>
      </c>
      <c r="R437" s="36" t="str">
        <f t="array" ref="R437">IF(AND($Y437="change",$H437="EUR"),IF(AND($AA437="Crédit",$O437=$O438),$R438,IF(AND($AA437="Débit",$O437=$O436),$R436)),IF(OR(AND(OR($E437&lt;&gt;"",$M437=""),$N437&lt;&gt;0),$A437=""),IFERROR(INDEX(Investment!$H:$H,MATCH($E437,Investment!$F:$F,0))),IFERROR(INDEX($R438:$R1119,MATCH(SUBSTITUTE($I437,"-","",1),$K438:$K1119,0)),INDEX($R438:$R1119,MATCH($K437,$K438:$K1119,0)))))</f>
        <v/>
      </c>
      <c r="S437" s="35" t="str">
        <f t="shared" si="2"/>
        <v/>
      </c>
      <c r="T437" s="37" t="str">
        <f t="shared" si="3"/>
        <v/>
      </c>
      <c r="U437" s="38" t="str">
        <f t="shared" si="4"/>
        <v/>
      </c>
      <c r="V437" s="31" t="str">
        <f t="shared" si="5"/>
        <v/>
      </c>
      <c r="W437" s="39" t="str">
        <f>IFERROR(__xludf.DUMMYFUNCTION(" IF(Account!$F437&lt;&gt;"""", SPLIT(Account!$F437, "" ""), """")"),"")</f>
        <v/>
      </c>
      <c r="X437" s="40"/>
      <c r="Y437" s="40"/>
      <c r="Z437" s="40"/>
      <c r="AA437" s="40"/>
      <c r="AB437" s="40"/>
      <c r="AC437" s="40"/>
      <c r="AD437" s="40"/>
      <c r="AE437" s="40"/>
      <c r="AF437" s="40"/>
      <c r="AG437" s="40"/>
      <c r="AH437" s="40"/>
      <c r="AI437" s="40"/>
      <c r="AJ437" s="40"/>
      <c r="AK437" s="40"/>
    </row>
    <row r="438">
      <c r="A438" s="10"/>
      <c r="B438" s="10"/>
      <c r="C438" s="10"/>
      <c r="D438" s="10"/>
      <c r="E438" s="10"/>
      <c r="F438" s="12"/>
      <c r="G438" s="300"/>
      <c r="H438" s="10"/>
      <c r="I438" s="10"/>
      <c r="J438" s="10"/>
      <c r="K438" s="10"/>
      <c r="L438" s="12"/>
      <c r="M438" s="29" t="str">
        <f t="shared" si="1"/>
        <v/>
      </c>
      <c r="N438" s="31" t="str">
        <f>IFERROR(__xludf.DUMMYFUNCTION("IF(Account!$F438&lt;&gt;"""", VALUE(REGEXREPLACE($I438, ""\,"", ""."")), """")"),"")</f>
        <v/>
      </c>
      <c r="O438" s="33" t="str">
        <f>IF(Account!$F438&lt;&gt;"", DATEVALUE(MID($A438,4,3) &amp; LEFT($A438,3) &amp; RIGHT($A438,4)) + TIMEVALUE($B438), "")</f>
        <v/>
      </c>
      <c r="P438" s="34" t="str">
        <f>IF(Account!$F438&lt;&gt;"", DATEVALUE(MID($C438,4,3) &amp; LEFT($C438,3) &amp; RIGHT($C438,4)), "")</f>
        <v/>
      </c>
      <c r="Q438" s="35" t="str">
        <f t="array" ref="Q438">IF($R438&lt;&gt;"",IFERROR(INDEX(Investment!$A:$A,MATCH($R438,Investment!$H:$H,0))),)</f>
        <v/>
      </c>
      <c r="R438" s="36" t="str">
        <f t="array" ref="R438">IF(AND($Y438="change",$H438="EUR"),IF(AND($AA438="Crédit",$O438=$O439),$R439,IF(AND($AA438="Débit",$O438=$O437),$R437)),IF(OR(AND(OR($E438&lt;&gt;"",$M438=""),$N438&lt;&gt;0),$A438=""),IFERROR(INDEX(Investment!$H:$H,MATCH($E438,Investment!$F:$F,0))),IFERROR(INDEX($R439:$R1119,MATCH(SUBSTITUTE($I438,"-","",1),$K439:$K1119,0)),INDEX($R439:$R1119,MATCH($K438,$K439:$K1119,0)))))</f>
        <v/>
      </c>
      <c r="S438" s="35" t="str">
        <f t="shared" si="2"/>
        <v/>
      </c>
      <c r="T438" s="37" t="str">
        <f t="shared" si="3"/>
        <v/>
      </c>
      <c r="U438" s="38" t="str">
        <f t="shared" si="4"/>
        <v/>
      </c>
      <c r="V438" s="31" t="str">
        <f t="shared" si="5"/>
        <v/>
      </c>
      <c r="W438" s="39" t="str">
        <f>IFERROR(__xludf.DUMMYFUNCTION(" IF(Account!$F438&lt;&gt;"""", SPLIT(Account!$F438, "" ""), """")"),"")</f>
        <v/>
      </c>
      <c r="X438" s="40"/>
      <c r="Y438" s="40"/>
      <c r="Z438" s="40"/>
      <c r="AA438" s="40"/>
      <c r="AB438" s="40"/>
      <c r="AC438" s="40"/>
      <c r="AD438" s="40"/>
      <c r="AE438" s="40"/>
      <c r="AF438" s="40"/>
      <c r="AG438" s="40"/>
      <c r="AH438" s="40"/>
      <c r="AI438" s="40"/>
      <c r="AJ438" s="40"/>
      <c r="AK438" s="40"/>
    </row>
    <row r="439">
      <c r="A439" s="10"/>
      <c r="B439" s="10"/>
      <c r="C439" s="10"/>
      <c r="D439" s="10"/>
      <c r="E439" s="10"/>
      <c r="F439" s="12"/>
      <c r="G439" s="300"/>
      <c r="H439" s="10"/>
      <c r="I439" s="10"/>
      <c r="J439" s="10"/>
      <c r="K439" s="10"/>
      <c r="L439" s="12"/>
      <c r="M439" s="29" t="str">
        <f t="shared" si="1"/>
        <v/>
      </c>
      <c r="N439" s="31" t="str">
        <f>IFERROR(__xludf.DUMMYFUNCTION("IF(Account!$F439&lt;&gt;"""", VALUE(REGEXREPLACE($I439, ""\,"", ""."")), """")"),"")</f>
        <v/>
      </c>
      <c r="O439" s="33" t="str">
        <f>IF(Account!$F439&lt;&gt;"", DATEVALUE(MID($A439,4,3) &amp; LEFT($A439,3) &amp; RIGHT($A439,4)) + TIMEVALUE($B439), "")</f>
        <v/>
      </c>
      <c r="P439" s="34" t="str">
        <f>IF(Account!$F439&lt;&gt;"", DATEVALUE(MID($C439,4,3) &amp; LEFT($C439,3) &amp; RIGHT($C439,4)), "")</f>
        <v/>
      </c>
      <c r="Q439" s="35" t="str">
        <f t="array" ref="Q439">IF($R439&lt;&gt;"",IFERROR(INDEX(Investment!$A:$A,MATCH($R439,Investment!$H:$H,0))),)</f>
        <v/>
      </c>
      <c r="R439" s="36" t="str">
        <f t="array" ref="R439">IF(AND($Y439="change",$H439="EUR"),IF(AND($AA439="Crédit",$O439=$O440),$R440,IF(AND($AA439="Débit",$O439=$O438),$R438)),IF(OR(AND(OR($E439&lt;&gt;"",$M439=""),$N439&lt;&gt;0),$A439=""),IFERROR(INDEX(Investment!$H:$H,MATCH($E439,Investment!$F:$F,0))),IFERROR(INDEX($R440:$R1119,MATCH(SUBSTITUTE($I439,"-","",1),$K440:$K1119,0)),INDEX($R440:$R1119,MATCH($K439,$K440:$K1119,0)))))</f>
        <v/>
      </c>
      <c r="S439" s="35" t="str">
        <f t="shared" si="2"/>
        <v/>
      </c>
      <c r="T439" s="37" t="str">
        <f t="shared" si="3"/>
        <v/>
      </c>
      <c r="U439" s="38" t="str">
        <f t="shared" si="4"/>
        <v/>
      </c>
      <c r="V439" s="31" t="str">
        <f t="shared" si="5"/>
        <v/>
      </c>
      <c r="W439" s="39" t="str">
        <f>IFERROR(__xludf.DUMMYFUNCTION(" IF(Account!$F439&lt;&gt;"""", SPLIT(Account!$F439, "" ""), """")"),"")</f>
        <v/>
      </c>
      <c r="X439" s="40"/>
      <c r="Y439" s="40"/>
      <c r="Z439" s="40"/>
      <c r="AA439" s="40"/>
      <c r="AB439" s="40"/>
      <c r="AC439" s="40"/>
      <c r="AD439" s="40"/>
      <c r="AE439" s="40"/>
      <c r="AF439" s="40"/>
      <c r="AG439" s="40"/>
      <c r="AH439" s="40"/>
      <c r="AI439" s="40"/>
      <c r="AJ439" s="40"/>
      <c r="AK439" s="40"/>
    </row>
    <row r="440">
      <c r="A440" s="10"/>
      <c r="B440" s="10"/>
      <c r="C440" s="10"/>
      <c r="D440" s="10"/>
      <c r="E440" s="10"/>
      <c r="F440" s="12"/>
      <c r="G440" s="300"/>
      <c r="H440" s="10"/>
      <c r="I440" s="10"/>
      <c r="J440" s="10"/>
      <c r="K440" s="10"/>
      <c r="L440" s="12"/>
      <c r="M440" s="29" t="str">
        <f t="shared" si="1"/>
        <v/>
      </c>
      <c r="N440" s="31" t="str">
        <f>IFERROR(__xludf.DUMMYFUNCTION("IF(Account!$F440&lt;&gt;"""", VALUE(REGEXREPLACE($I440, ""\,"", ""."")), """")"),"")</f>
        <v/>
      </c>
      <c r="O440" s="33" t="str">
        <f>IF(Account!$F440&lt;&gt;"", DATEVALUE(MID($A440,4,3) &amp; LEFT($A440,3) &amp; RIGHT($A440,4)) + TIMEVALUE($B440), "")</f>
        <v/>
      </c>
      <c r="P440" s="34" t="str">
        <f>IF(Account!$F440&lt;&gt;"", DATEVALUE(MID($C440,4,3) &amp; LEFT($C440,3) &amp; RIGHT($C440,4)), "")</f>
        <v/>
      </c>
      <c r="Q440" s="35" t="str">
        <f t="array" ref="Q440">IF($R440&lt;&gt;"",IFERROR(INDEX(Investment!$A:$A,MATCH($R440,Investment!$H:$H,0))),)</f>
        <v/>
      </c>
      <c r="R440" s="36" t="str">
        <f t="array" ref="R440">IF(AND($Y440="change",$H440="EUR"),IF(AND($AA440="Crédit",$O440=$O441),$R441,IF(AND($AA440="Débit",$O440=$O439),$R439)),IF(OR(AND(OR($E440&lt;&gt;"",$M440=""),$N440&lt;&gt;0),$A440=""),IFERROR(INDEX(Investment!$H:$H,MATCH($E440,Investment!$F:$F,0))),IFERROR(INDEX($R441:$R1119,MATCH(SUBSTITUTE($I440,"-","",1),$K441:$K1119,0)),INDEX($R441:$R1119,MATCH($K440,$K441:$K1119,0)))))</f>
        <v/>
      </c>
      <c r="S440" s="35" t="str">
        <f t="shared" si="2"/>
        <v/>
      </c>
      <c r="T440" s="37" t="str">
        <f t="shared" si="3"/>
        <v/>
      </c>
      <c r="U440" s="38" t="str">
        <f t="shared" si="4"/>
        <v/>
      </c>
      <c r="V440" s="31" t="str">
        <f t="shared" si="5"/>
        <v/>
      </c>
      <c r="W440" s="39" t="str">
        <f>IFERROR(__xludf.DUMMYFUNCTION(" IF(Account!$F440&lt;&gt;"""", SPLIT(Account!$F440, "" ""), """")"),"")</f>
        <v/>
      </c>
      <c r="X440" s="40"/>
      <c r="Y440" s="40"/>
      <c r="Z440" s="40"/>
      <c r="AA440" s="40"/>
      <c r="AB440" s="40"/>
      <c r="AC440" s="40"/>
      <c r="AD440" s="40"/>
      <c r="AE440" s="40"/>
      <c r="AF440" s="40"/>
      <c r="AG440" s="40"/>
      <c r="AH440" s="40"/>
      <c r="AI440" s="40"/>
      <c r="AJ440" s="40"/>
      <c r="AK440" s="40"/>
    </row>
    <row r="441">
      <c r="A441" s="10"/>
      <c r="B441" s="10"/>
      <c r="C441" s="10"/>
      <c r="D441" s="10"/>
      <c r="E441" s="10"/>
      <c r="F441" s="12"/>
      <c r="G441" s="300"/>
      <c r="H441" s="10"/>
      <c r="I441" s="10"/>
      <c r="J441" s="10"/>
      <c r="K441" s="10"/>
      <c r="L441" s="12"/>
      <c r="M441" s="29" t="str">
        <f t="shared" si="1"/>
        <v/>
      </c>
      <c r="N441" s="31" t="str">
        <f>IFERROR(__xludf.DUMMYFUNCTION("IF(Account!$F441&lt;&gt;"""", VALUE(REGEXREPLACE($I441, ""\,"", ""."")), """")"),"")</f>
        <v/>
      </c>
      <c r="O441" s="33" t="str">
        <f>IF(Account!$F441&lt;&gt;"", DATEVALUE(MID($A441,4,3) &amp; LEFT($A441,3) &amp; RIGHT($A441,4)) + TIMEVALUE($B441), "")</f>
        <v/>
      </c>
      <c r="P441" s="34" t="str">
        <f>IF(Account!$F441&lt;&gt;"", DATEVALUE(MID($C441,4,3) &amp; LEFT($C441,3) &amp; RIGHT($C441,4)), "")</f>
        <v/>
      </c>
      <c r="Q441" s="35" t="str">
        <f t="array" ref="Q441">IF($R441&lt;&gt;"",IFERROR(INDEX(Investment!$A:$A,MATCH($R441,Investment!$H:$H,0))),)</f>
        <v/>
      </c>
      <c r="R441" s="36" t="str">
        <f t="array" ref="R441">IF(AND($Y441="change",$H441="EUR"),IF(AND($AA441="Crédit",$O441=$O442),$R442,IF(AND($AA441="Débit",$O441=$O440),$R440)),IF(OR(AND(OR($E441&lt;&gt;"",$M441=""),$N441&lt;&gt;0),$A441=""),IFERROR(INDEX(Investment!$H:$H,MATCH($E441,Investment!$F:$F,0))),IFERROR(INDEX($R442:$R1119,MATCH(SUBSTITUTE($I441,"-","",1),$K442:$K1119,0)),INDEX($R442:$R1119,MATCH($K441,$K442:$K1119,0)))))</f>
        <v/>
      </c>
      <c r="S441" s="35" t="str">
        <f t="shared" si="2"/>
        <v/>
      </c>
      <c r="T441" s="37" t="str">
        <f t="shared" si="3"/>
        <v/>
      </c>
      <c r="U441" s="38" t="str">
        <f t="shared" si="4"/>
        <v/>
      </c>
      <c r="V441" s="31" t="str">
        <f t="shared" si="5"/>
        <v/>
      </c>
      <c r="W441" s="39" t="str">
        <f>IFERROR(__xludf.DUMMYFUNCTION(" IF(Account!$F441&lt;&gt;"""", SPLIT(Account!$F441, "" ""), """")"),"")</f>
        <v/>
      </c>
      <c r="X441" s="40"/>
      <c r="Y441" s="40"/>
      <c r="Z441" s="40"/>
      <c r="AA441" s="40"/>
      <c r="AB441" s="40"/>
      <c r="AC441" s="40"/>
      <c r="AD441" s="40"/>
      <c r="AE441" s="40"/>
      <c r="AF441" s="40"/>
      <c r="AG441" s="40"/>
      <c r="AH441" s="40"/>
      <c r="AI441" s="40"/>
      <c r="AJ441" s="40"/>
      <c r="AK441" s="40"/>
    </row>
    <row r="442">
      <c r="A442" s="10"/>
      <c r="B442" s="10"/>
      <c r="C442" s="10"/>
      <c r="D442" s="10"/>
      <c r="E442" s="10"/>
      <c r="F442" s="12"/>
      <c r="G442" s="300"/>
      <c r="H442" s="300"/>
      <c r="I442" s="300"/>
      <c r="J442" s="10"/>
      <c r="K442" s="10"/>
      <c r="L442" s="12"/>
      <c r="M442" s="29" t="str">
        <f t="shared" si="1"/>
        <v/>
      </c>
      <c r="N442" s="31" t="str">
        <f>IFERROR(__xludf.DUMMYFUNCTION("IF(Account!$F442&lt;&gt;"""", VALUE(REGEXREPLACE($I442, ""\,"", ""."")), """")"),"")</f>
        <v/>
      </c>
      <c r="O442" s="33" t="str">
        <f>IF(Account!$F442&lt;&gt;"", DATEVALUE(MID($A442,4,3) &amp; LEFT($A442,3) &amp; RIGHT($A442,4)) + TIMEVALUE($B442), "")</f>
        <v/>
      </c>
      <c r="P442" s="34" t="str">
        <f>IF(Account!$F442&lt;&gt;"", DATEVALUE(MID($C442,4,3) &amp; LEFT($C442,3) &amp; RIGHT($C442,4)), "")</f>
        <v/>
      </c>
      <c r="Q442" s="35" t="str">
        <f t="array" ref="Q442">IF($R442&lt;&gt;"",IFERROR(INDEX(Investment!$A:$A,MATCH($R442,Investment!$H:$H,0))),)</f>
        <v/>
      </c>
      <c r="R442" s="36" t="str">
        <f t="array" ref="R442">IF(AND($Y442="change",$H442="EUR"),IF(AND($AA442="Crédit",$O442=$O443),$R443,IF(AND($AA442="Débit",$O442=$O441),$R441)),IF(OR(AND(OR($E442&lt;&gt;"",$M442=""),$N442&lt;&gt;0),$A442=""),IFERROR(INDEX(Investment!$H:$H,MATCH($E442,Investment!$F:$F,0))),IFERROR(INDEX($R443:$R1119,MATCH(SUBSTITUTE($I442,"-","",1),$K443:$K1119,0)),INDEX($R443:$R1119,MATCH($K442,$K443:$K1119,0)))))</f>
        <v/>
      </c>
      <c r="S442" s="35" t="str">
        <f t="shared" si="2"/>
        <v/>
      </c>
      <c r="T442" s="37" t="str">
        <f t="shared" si="3"/>
        <v/>
      </c>
      <c r="U442" s="38" t="str">
        <f t="shared" si="4"/>
        <v/>
      </c>
      <c r="V442" s="31" t="str">
        <f t="shared" si="5"/>
        <v/>
      </c>
      <c r="W442" s="39" t="str">
        <f>IFERROR(__xludf.DUMMYFUNCTION(" IF(Account!$F442&lt;&gt;"""", SPLIT(Account!$F442, "" ""), """")"),"")</f>
        <v/>
      </c>
      <c r="X442" s="40"/>
      <c r="Y442" s="40"/>
      <c r="Z442" s="40"/>
      <c r="AA442" s="40"/>
      <c r="AB442" s="40"/>
      <c r="AC442" s="40"/>
      <c r="AD442" s="40"/>
      <c r="AE442" s="40"/>
      <c r="AF442" s="40"/>
      <c r="AG442" s="40"/>
      <c r="AH442" s="40"/>
      <c r="AI442" s="40"/>
      <c r="AJ442" s="40"/>
      <c r="AK442" s="40"/>
    </row>
    <row r="443">
      <c r="A443" s="10"/>
      <c r="B443" s="10"/>
      <c r="C443" s="10"/>
      <c r="D443" s="300"/>
      <c r="E443" s="300"/>
      <c r="F443" s="12"/>
      <c r="G443" s="10"/>
      <c r="H443" s="10"/>
      <c r="I443" s="10"/>
      <c r="J443" s="10"/>
      <c r="K443" s="10"/>
      <c r="L443" s="12"/>
      <c r="M443" s="29" t="str">
        <f t="shared" si="1"/>
        <v/>
      </c>
      <c r="N443" s="31" t="str">
        <f>IFERROR(__xludf.DUMMYFUNCTION("IF(Account!$F443&lt;&gt;"""", VALUE(REGEXREPLACE($I443, ""\,"", ""."")), """")"),"")</f>
        <v/>
      </c>
      <c r="O443" s="33" t="str">
        <f>IF(Account!$F443&lt;&gt;"", DATEVALUE(MID($A443,4,3) &amp; LEFT($A443,3) &amp; RIGHT($A443,4)) + TIMEVALUE($B443), "")</f>
        <v/>
      </c>
      <c r="P443" s="34" t="str">
        <f>IF(Account!$F443&lt;&gt;"", DATEVALUE(MID($C443,4,3) &amp; LEFT($C443,3) &amp; RIGHT($C443,4)), "")</f>
        <v/>
      </c>
      <c r="Q443" s="35" t="str">
        <f t="array" ref="Q443">IF($R443&lt;&gt;"",IFERROR(INDEX(Investment!$A:$A,MATCH($R443,Investment!$H:$H,0))),)</f>
        <v/>
      </c>
      <c r="R443" s="36" t="str">
        <f t="array" ref="R443">IF(AND($Y443="change",$H443="EUR"),IF(AND($AA443="Crédit",$O443=$O444),$R444,IF(AND($AA443="Débit",$O443=$O442),$R442)),IF(OR(AND(OR($E443&lt;&gt;"",$M443=""),$N443&lt;&gt;0),$A443=""),IFERROR(INDEX(Investment!$H:$H,MATCH($E443,Investment!$F:$F,0))),IFERROR(INDEX($R444:$R1119,MATCH(SUBSTITUTE($I443,"-","",1),$K444:$K1119,0)),INDEX($R444:$R1119,MATCH($K443,$K444:$K1119,0)))))</f>
        <v/>
      </c>
      <c r="S443" s="35" t="str">
        <f t="shared" si="2"/>
        <v/>
      </c>
      <c r="T443" s="37" t="str">
        <f t="shared" si="3"/>
        <v/>
      </c>
      <c r="U443" s="38" t="str">
        <f t="shared" si="4"/>
        <v/>
      </c>
      <c r="V443" s="31" t="str">
        <f t="shared" si="5"/>
        <v/>
      </c>
      <c r="W443" s="39" t="str">
        <f>IFERROR(__xludf.DUMMYFUNCTION(" IF(Account!$F443&lt;&gt;"""", SPLIT(Account!$F443, "" ""), """")"),"")</f>
        <v/>
      </c>
      <c r="X443" s="40"/>
      <c r="Y443" s="40"/>
      <c r="Z443" s="40"/>
      <c r="AA443" s="40"/>
      <c r="AB443" s="40"/>
      <c r="AC443" s="40"/>
      <c r="AD443" s="40"/>
      <c r="AE443" s="40"/>
      <c r="AF443" s="40"/>
      <c r="AG443" s="40"/>
      <c r="AH443" s="40"/>
      <c r="AI443" s="40"/>
      <c r="AJ443" s="40"/>
      <c r="AK443" s="40"/>
    </row>
    <row r="444">
      <c r="A444" s="10"/>
      <c r="B444" s="10"/>
      <c r="C444" s="10"/>
      <c r="D444" s="300"/>
      <c r="E444" s="300"/>
      <c r="F444" s="12"/>
      <c r="G444" s="300"/>
      <c r="H444" s="10"/>
      <c r="I444" s="10"/>
      <c r="J444" s="10"/>
      <c r="K444" s="10"/>
      <c r="L444" s="12"/>
      <c r="M444" s="29" t="str">
        <f t="shared" si="1"/>
        <v/>
      </c>
      <c r="N444" s="31" t="str">
        <f>IFERROR(__xludf.DUMMYFUNCTION("IF(Account!$F444&lt;&gt;"""", VALUE(REGEXREPLACE($I444, ""\,"", ""."")), """")"),"")</f>
        <v/>
      </c>
      <c r="O444" s="33" t="str">
        <f>IF(Account!$F444&lt;&gt;"", DATEVALUE(MID($A444,4,3) &amp; LEFT($A444,3) &amp; RIGHT($A444,4)) + TIMEVALUE($B444), "")</f>
        <v/>
      </c>
      <c r="P444" s="34" t="str">
        <f>IF(Account!$F444&lt;&gt;"", DATEVALUE(MID($C444,4,3) &amp; LEFT($C444,3) &amp; RIGHT($C444,4)), "")</f>
        <v/>
      </c>
      <c r="Q444" s="35" t="str">
        <f t="array" ref="Q444">IF($R444&lt;&gt;"",IFERROR(INDEX(Investment!$A:$A,MATCH($R444,Investment!$H:$H,0))),)</f>
        <v/>
      </c>
      <c r="R444" s="36" t="str">
        <f t="array" ref="R444">IF(AND($Y444="change",$H444="EUR"),IF(AND($AA444="Crédit",$O444=$O445),$R445,IF(AND($AA444="Débit",$O444=$O443),$R443)),IF(OR(AND(OR($E444&lt;&gt;"",$M444=""),$N444&lt;&gt;0),$A444=""),IFERROR(INDEX(Investment!$H:$H,MATCH($E444,Investment!$F:$F,0))),IFERROR(INDEX($R445:$R1119,MATCH(SUBSTITUTE($I444,"-","",1),$K445:$K1119,0)),INDEX($R445:$R1119,MATCH($K444,$K445:$K1119,0)))))</f>
        <v/>
      </c>
      <c r="S444" s="35" t="str">
        <f t="shared" si="2"/>
        <v/>
      </c>
      <c r="T444" s="37" t="str">
        <f t="shared" si="3"/>
        <v/>
      </c>
      <c r="U444" s="38" t="str">
        <f t="shared" si="4"/>
        <v/>
      </c>
      <c r="V444" s="31" t="str">
        <f t="shared" si="5"/>
        <v/>
      </c>
      <c r="W444" s="39" t="str">
        <f>IFERROR(__xludf.DUMMYFUNCTION(" IF(Account!$F444&lt;&gt;"""", SPLIT(Account!$F444, "" ""), """")"),"")</f>
        <v/>
      </c>
      <c r="X444" s="40"/>
      <c r="Y444" s="40"/>
      <c r="Z444" s="40"/>
      <c r="AA444" s="40"/>
      <c r="AB444" s="40"/>
      <c r="AC444" s="40"/>
      <c r="AD444" s="40"/>
      <c r="AE444" s="40"/>
      <c r="AF444" s="40"/>
      <c r="AG444" s="40"/>
      <c r="AH444" s="40"/>
      <c r="AI444" s="40"/>
      <c r="AJ444" s="40"/>
      <c r="AK444" s="40"/>
    </row>
    <row r="445">
      <c r="A445" s="10"/>
      <c r="B445" s="10"/>
      <c r="C445" s="10"/>
      <c r="D445" s="10"/>
      <c r="E445" s="10"/>
      <c r="F445" s="12"/>
      <c r="G445" s="300"/>
      <c r="H445" s="300"/>
      <c r="I445" s="300"/>
      <c r="J445" s="10"/>
      <c r="K445" s="10"/>
      <c r="L445" s="12"/>
      <c r="M445" s="29" t="str">
        <f t="shared" si="1"/>
        <v/>
      </c>
      <c r="N445" s="31" t="str">
        <f>IFERROR(__xludf.DUMMYFUNCTION("IF(Account!$F445&lt;&gt;"""", VALUE(REGEXREPLACE($I445, ""\,"", ""."")), """")"),"")</f>
        <v/>
      </c>
      <c r="O445" s="33" t="str">
        <f>IF(Account!$F445&lt;&gt;"", DATEVALUE(MID($A445,4,3) &amp; LEFT($A445,3) &amp; RIGHT($A445,4)) + TIMEVALUE($B445), "")</f>
        <v/>
      </c>
      <c r="P445" s="34" t="str">
        <f>IF(Account!$F445&lt;&gt;"", DATEVALUE(MID($C445,4,3) &amp; LEFT($C445,3) &amp; RIGHT($C445,4)), "")</f>
        <v/>
      </c>
      <c r="Q445" s="35" t="str">
        <f t="array" ref="Q445">IF($R445&lt;&gt;"",IFERROR(INDEX(Investment!$A:$A,MATCH($R445,Investment!$H:$H,0))),)</f>
        <v/>
      </c>
      <c r="R445" s="36" t="str">
        <f t="array" ref="R445">IF(AND($Y445="change",$H445="EUR"),IF(AND($AA445="Crédit",$O445=$O446),$R446,IF(AND($AA445="Débit",$O445=$O444),$R444)),IF(OR(AND(OR($E445&lt;&gt;"",$M445=""),$N445&lt;&gt;0),$A445=""),IFERROR(INDEX(Investment!$H:$H,MATCH($E445,Investment!$F:$F,0))),IFERROR(INDEX($R446:$R1119,MATCH(SUBSTITUTE($I445,"-","",1),$K446:$K1119,0)),INDEX($R446:$R1119,MATCH($K445,$K446:$K1119,0)))))</f>
        <v/>
      </c>
      <c r="S445" s="35" t="str">
        <f t="shared" si="2"/>
        <v/>
      </c>
      <c r="T445" s="37" t="str">
        <f t="shared" si="3"/>
        <v/>
      </c>
      <c r="U445" s="38" t="str">
        <f t="shared" si="4"/>
        <v/>
      </c>
      <c r="V445" s="31" t="str">
        <f t="shared" si="5"/>
        <v/>
      </c>
      <c r="W445" s="39" t="str">
        <f>IFERROR(__xludf.DUMMYFUNCTION(" IF(Account!$F445&lt;&gt;"""", SPLIT(Account!$F445, "" ""), """")"),"")</f>
        <v/>
      </c>
      <c r="X445" s="40"/>
      <c r="Y445" s="40"/>
      <c r="Z445" s="40"/>
      <c r="AA445" s="40"/>
      <c r="AB445" s="40"/>
      <c r="AC445" s="40"/>
      <c r="AD445" s="40"/>
      <c r="AE445" s="40"/>
      <c r="AF445" s="40"/>
      <c r="AG445" s="40"/>
      <c r="AH445" s="40"/>
      <c r="AI445" s="40"/>
      <c r="AJ445" s="40"/>
      <c r="AK445" s="40"/>
    </row>
    <row r="446">
      <c r="A446" s="10"/>
      <c r="B446" s="10"/>
      <c r="C446" s="10"/>
      <c r="D446" s="10"/>
      <c r="E446" s="10"/>
      <c r="F446" s="12"/>
      <c r="G446" s="300"/>
      <c r="H446" s="10"/>
      <c r="I446" s="10"/>
      <c r="J446" s="10"/>
      <c r="K446" s="10"/>
      <c r="L446" s="12"/>
      <c r="M446" s="29" t="str">
        <f t="shared" si="1"/>
        <v/>
      </c>
      <c r="N446" s="31" t="str">
        <f>IFERROR(__xludf.DUMMYFUNCTION("IF(Account!$F446&lt;&gt;"""", VALUE(REGEXREPLACE($I446, ""\,"", ""."")), """")"),"")</f>
        <v/>
      </c>
      <c r="O446" s="33" t="str">
        <f>IF(Account!$F446&lt;&gt;"", DATEVALUE(MID($A446,4,3) &amp; LEFT($A446,3) &amp; RIGHT($A446,4)) + TIMEVALUE($B446), "")</f>
        <v/>
      </c>
      <c r="P446" s="34" t="str">
        <f>IF(Account!$F446&lt;&gt;"", DATEVALUE(MID($C446,4,3) &amp; LEFT($C446,3) &amp; RIGHT($C446,4)), "")</f>
        <v/>
      </c>
      <c r="Q446" s="35" t="str">
        <f t="array" ref="Q446">IF($R446&lt;&gt;"",IFERROR(INDEX(Investment!$A:$A,MATCH($R446,Investment!$H:$H,0))),)</f>
        <v/>
      </c>
      <c r="R446" s="36" t="str">
        <f t="array" ref="R446">IF(AND($Y446="change",$H446="EUR"),IF(AND($AA446="Crédit",$O446=$O447),$R447,IF(AND($AA446="Débit",$O446=$O445),$R445)),IF(OR(AND(OR($E446&lt;&gt;"",$M446=""),$N446&lt;&gt;0),$A446=""),IFERROR(INDEX(Investment!$H:$H,MATCH($E446,Investment!$F:$F,0))),IFERROR(INDEX($R447:$R1119,MATCH(SUBSTITUTE($I446,"-","",1),$K447:$K1119,0)),INDEX($R447:$R1119,MATCH($K446,$K447:$K1119,0)))))</f>
        <v/>
      </c>
      <c r="S446" s="35" t="str">
        <f t="shared" si="2"/>
        <v/>
      </c>
      <c r="T446" s="37" t="str">
        <f t="shared" si="3"/>
        <v/>
      </c>
      <c r="U446" s="38" t="str">
        <f t="shared" si="4"/>
        <v/>
      </c>
      <c r="V446" s="31" t="str">
        <f t="shared" si="5"/>
        <v/>
      </c>
      <c r="W446" s="39" t="str">
        <f>IFERROR(__xludf.DUMMYFUNCTION(" IF(Account!$F446&lt;&gt;"""", SPLIT(Account!$F446, "" ""), """")"),"")</f>
        <v/>
      </c>
      <c r="X446" s="40"/>
      <c r="Y446" s="40"/>
      <c r="Z446" s="40"/>
      <c r="AA446" s="40"/>
      <c r="AB446" s="40"/>
      <c r="AC446" s="40"/>
      <c r="AD446" s="40"/>
      <c r="AE446" s="40"/>
      <c r="AF446" s="40"/>
      <c r="AG446" s="40"/>
      <c r="AH446" s="40"/>
      <c r="AI446" s="40"/>
      <c r="AJ446" s="40"/>
      <c r="AK446" s="40"/>
    </row>
    <row r="447">
      <c r="A447" s="10"/>
      <c r="B447" s="10"/>
      <c r="C447" s="10"/>
      <c r="D447" s="10"/>
      <c r="E447" s="10"/>
      <c r="F447" s="12"/>
      <c r="G447" s="300"/>
      <c r="H447" s="10"/>
      <c r="I447" s="10"/>
      <c r="J447" s="10"/>
      <c r="K447" s="10"/>
      <c r="L447" s="12"/>
      <c r="M447" s="29" t="str">
        <f t="shared" si="1"/>
        <v/>
      </c>
      <c r="N447" s="31" t="str">
        <f>IFERROR(__xludf.DUMMYFUNCTION("IF(Account!$F447&lt;&gt;"""", VALUE(REGEXREPLACE($I447, ""\,"", ""."")), """")"),"")</f>
        <v/>
      </c>
      <c r="O447" s="33" t="str">
        <f>IF(Account!$F447&lt;&gt;"", DATEVALUE(MID($A447,4,3) &amp; LEFT($A447,3) &amp; RIGHT($A447,4)) + TIMEVALUE($B447), "")</f>
        <v/>
      </c>
      <c r="P447" s="34" t="str">
        <f>IF(Account!$F447&lt;&gt;"", DATEVALUE(MID($C447,4,3) &amp; LEFT($C447,3) &amp; RIGHT($C447,4)), "")</f>
        <v/>
      </c>
      <c r="Q447" s="35" t="str">
        <f t="array" ref="Q447">IF($R447&lt;&gt;"",IFERROR(INDEX(Investment!$A:$A,MATCH($R447,Investment!$H:$H,0))),)</f>
        <v/>
      </c>
      <c r="R447" s="36" t="str">
        <f t="array" ref="R447">IF(AND($Y447="change",$H447="EUR"),IF(AND($AA447="Crédit",$O447=$O448),$R448,IF(AND($AA447="Débit",$O447=$O446),$R446)),IF(OR(AND(OR($E447&lt;&gt;"",$M447=""),$N447&lt;&gt;0),$A447=""),IFERROR(INDEX(Investment!$H:$H,MATCH($E447,Investment!$F:$F,0))),IFERROR(INDEX($R448:$R1119,MATCH(SUBSTITUTE($I447,"-","",1),$K448:$K1119,0)),INDEX($R448:$R1119,MATCH($K447,$K448:$K1119,0)))))</f>
        <v/>
      </c>
      <c r="S447" s="35" t="str">
        <f t="shared" si="2"/>
        <v/>
      </c>
      <c r="T447" s="37" t="str">
        <f t="shared" si="3"/>
        <v/>
      </c>
      <c r="U447" s="38" t="str">
        <f t="shared" si="4"/>
        <v/>
      </c>
      <c r="V447" s="31" t="str">
        <f t="shared" si="5"/>
        <v/>
      </c>
      <c r="W447" s="39" t="str">
        <f>IFERROR(__xludf.DUMMYFUNCTION(" IF(Account!$F447&lt;&gt;"""", SPLIT(Account!$F447, "" ""), """")"),"")</f>
        <v/>
      </c>
      <c r="X447" s="40"/>
      <c r="Y447" s="40"/>
      <c r="Z447" s="40"/>
      <c r="AA447" s="40"/>
      <c r="AB447" s="40"/>
      <c r="AC447" s="40"/>
      <c r="AD447" s="40"/>
      <c r="AE447" s="40"/>
      <c r="AF447" s="40"/>
      <c r="AG447" s="40"/>
      <c r="AH447" s="40"/>
      <c r="AI447" s="40"/>
      <c r="AJ447" s="40"/>
      <c r="AK447" s="40"/>
    </row>
    <row r="448">
      <c r="A448" s="10"/>
      <c r="B448" s="10"/>
      <c r="C448" s="10"/>
      <c r="D448" s="10"/>
      <c r="E448" s="10"/>
      <c r="F448" s="12"/>
      <c r="G448" s="10"/>
      <c r="H448" s="10"/>
      <c r="I448" s="10"/>
      <c r="J448" s="10"/>
      <c r="K448" s="10"/>
      <c r="L448" s="12"/>
      <c r="M448" s="29" t="str">
        <f t="shared" si="1"/>
        <v/>
      </c>
      <c r="N448" s="31" t="str">
        <f>IFERROR(__xludf.DUMMYFUNCTION("IF(Account!$F448&lt;&gt;"""", VALUE(REGEXREPLACE($I448, ""\,"", ""."")), """")"),"")</f>
        <v/>
      </c>
      <c r="O448" s="33" t="str">
        <f>IF(Account!$F448&lt;&gt;"", DATEVALUE(MID($A448,4,3) &amp; LEFT($A448,3) &amp; RIGHT($A448,4)) + TIMEVALUE($B448), "")</f>
        <v/>
      </c>
      <c r="P448" s="34" t="str">
        <f>IF(Account!$F448&lt;&gt;"", DATEVALUE(MID($C448,4,3) &amp; LEFT($C448,3) &amp; RIGHT($C448,4)), "")</f>
        <v/>
      </c>
      <c r="Q448" s="35" t="str">
        <f t="array" ref="Q448">IF($R448&lt;&gt;"",IFERROR(INDEX(Investment!$A:$A,MATCH($R448,Investment!$H:$H,0))),)</f>
        <v/>
      </c>
      <c r="R448" s="36" t="str">
        <f t="array" ref="R448">IF(AND($Y448="change",$H448="EUR"),IF(AND($AA448="Crédit",$O448=$O449),$R449,IF(AND($AA448="Débit",$O448=$O447),$R447)),IF(OR(AND(OR($E448&lt;&gt;"",$M448=""),$N448&lt;&gt;0),$A448=""),IFERROR(INDEX(Investment!$H:$H,MATCH($E448,Investment!$F:$F,0))),IFERROR(INDEX($R449:$R1119,MATCH(SUBSTITUTE($I448,"-","",1),$K449:$K1119,0)),INDEX($R449:$R1119,MATCH($K448,$K449:$K1119,0)))))</f>
        <v/>
      </c>
      <c r="S448" s="35" t="str">
        <f t="shared" si="2"/>
        <v/>
      </c>
      <c r="T448" s="37" t="str">
        <f t="shared" si="3"/>
        <v/>
      </c>
      <c r="U448" s="38" t="str">
        <f t="shared" si="4"/>
        <v/>
      </c>
      <c r="V448" s="31" t="str">
        <f t="shared" si="5"/>
        <v/>
      </c>
      <c r="W448" s="39" t="str">
        <f>IFERROR(__xludf.DUMMYFUNCTION(" IF(Account!$F448&lt;&gt;"""", SPLIT(Account!$F448, "" ""), """")"),"")</f>
        <v/>
      </c>
      <c r="X448" s="40"/>
      <c r="Y448" s="40"/>
      <c r="Z448" s="40"/>
      <c r="AA448" s="40"/>
      <c r="AB448" s="40"/>
      <c r="AC448" s="40"/>
      <c r="AD448" s="40"/>
      <c r="AE448" s="40"/>
      <c r="AF448" s="40"/>
      <c r="AG448" s="40"/>
      <c r="AH448" s="40"/>
      <c r="AI448" s="40"/>
      <c r="AJ448" s="40"/>
      <c r="AK448" s="40"/>
    </row>
    <row r="449">
      <c r="A449" s="10"/>
      <c r="B449" s="10"/>
      <c r="C449" s="10"/>
      <c r="D449" s="10"/>
      <c r="E449" s="10"/>
      <c r="F449" s="12"/>
      <c r="G449" s="300"/>
      <c r="H449" s="10"/>
      <c r="I449" s="10"/>
      <c r="J449" s="10"/>
      <c r="K449" s="10"/>
      <c r="L449" s="12"/>
      <c r="M449" s="29" t="str">
        <f t="shared" si="1"/>
        <v/>
      </c>
      <c r="N449" s="31" t="str">
        <f>IFERROR(__xludf.DUMMYFUNCTION("IF(Account!$F449&lt;&gt;"""", VALUE(REGEXREPLACE($I449, ""\,"", ""."")), """")"),"")</f>
        <v/>
      </c>
      <c r="O449" s="33" t="str">
        <f>IF(Account!$F449&lt;&gt;"", DATEVALUE(MID($A449,4,3) &amp; LEFT($A449,3) &amp; RIGHT($A449,4)) + TIMEVALUE($B449), "")</f>
        <v/>
      </c>
      <c r="P449" s="34" t="str">
        <f>IF(Account!$F449&lt;&gt;"", DATEVALUE(MID($C449,4,3) &amp; LEFT($C449,3) &amp; RIGHT($C449,4)), "")</f>
        <v/>
      </c>
      <c r="Q449" s="35" t="str">
        <f t="array" ref="Q449">IF($R449&lt;&gt;"",IFERROR(INDEX(Investment!$A:$A,MATCH($R449,Investment!$H:$H,0))),)</f>
        <v/>
      </c>
      <c r="R449" s="36" t="str">
        <f t="array" ref="R449">IF(AND($Y449="change",$H449="EUR"),IF(AND($AA449="Crédit",$O449=$O450),$R450,IF(AND($AA449="Débit",$O449=$O448),$R448)),IF(OR(AND(OR($E449&lt;&gt;"",$M449=""),$N449&lt;&gt;0),$A449=""),IFERROR(INDEX(Investment!$H:$H,MATCH($E449,Investment!$F:$F,0))),IFERROR(INDEX($R450:$R1119,MATCH(SUBSTITUTE($I449,"-","",1),$K450:$K1119,0)),INDEX($R450:$R1119,MATCH($K449,$K450:$K1119,0)))))</f>
        <v/>
      </c>
      <c r="S449" s="35" t="str">
        <f t="shared" si="2"/>
        <v/>
      </c>
      <c r="T449" s="37" t="str">
        <f t="shared" si="3"/>
        <v/>
      </c>
      <c r="U449" s="38" t="str">
        <f t="shared" si="4"/>
        <v/>
      </c>
      <c r="V449" s="31" t="str">
        <f t="shared" si="5"/>
        <v/>
      </c>
      <c r="W449" s="39" t="str">
        <f>IFERROR(__xludf.DUMMYFUNCTION(" IF(Account!$F449&lt;&gt;"""", SPLIT(Account!$F449, "" ""), """")"),"")</f>
        <v/>
      </c>
      <c r="X449" s="40"/>
      <c r="Y449" s="40"/>
      <c r="Z449" s="40"/>
      <c r="AA449" s="40"/>
      <c r="AB449" s="40"/>
      <c r="AC449" s="40"/>
      <c r="AD449" s="40"/>
      <c r="AE449" s="40"/>
      <c r="AF449" s="40"/>
      <c r="AG449" s="40"/>
      <c r="AH449" s="40"/>
      <c r="AI449" s="40"/>
      <c r="AJ449" s="40"/>
      <c r="AK449" s="40"/>
    </row>
    <row r="450">
      <c r="A450" s="10"/>
      <c r="B450" s="10"/>
      <c r="C450" s="10"/>
      <c r="D450" s="10"/>
      <c r="E450" s="10"/>
      <c r="F450" s="12"/>
      <c r="G450" s="10"/>
      <c r="H450" s="10"/>
      <c r="I450" s="10"/>
      <c r="J450" s="10"/>
      <c r="K450" s="10"/>
      <c r="L450" s="12"/>
      <c r="M450" s="29" t="str">
        <f t="shared" si="1"/>
        <v/>
      </c>
      <c r="N450" s="31" t="str">
        <f>IFERROR(__xludf.DUMMYFUNCTION("IF(Account!$F450&lt;&gt;"""", VALUE(REGEXREPLACE($I450, ""\,"", ""."")), """")"),"")</f>
        <v/>
      </c>
      <c r="O450" s="33" t="str">
        <f>IF(Account!$F450&lt;&gt;"", DATEVALUE(MID($A450,4,3) &amp; LEFT($A450,3) &amp; RIGHT($A450,4)) + TIMEVALUE($B450), "")</f>
        <v/>
      </c>
      <c r="P450" s="34" t="str">
        <f>IF(Account!$F450&lt;&gt;"", DATEVALUE(MID($C450,4,3) &amp; LEFT($C450,3) &amp; RIGHT($C450,4)), "")</f>
        <v/>
      </c>
      <c r="Q450" s="35" t="str">
        <f t="array" ref="Q450">IF($R450&lt;&gt;"",IFERROR(INDEX(Investment!$A:$A,MATCH($R450,Investment!$H:$H,0))),)</f>
        <v/>
      </c>
      <c r="R450" s="36" t="str">
        <f t="array" ref="R450">IF(AND($Y450="change",$H450="EUR"),IF(AND($AA450="Crédit",$O450=$O451),$R451,IF(AND($AA450="Débit",$O450=$O449),$R449)),IF(OR(AND(OR($E450&lt;&gt;"",$M450=""),$N450&lt;&gt;0),$A450=""),IFERROR(INDEX(Investment!$H:$H,MATCH($E450,Investment!$F:$F,0))),IFERROR(INDEX($R451:$R1119,MATCH(SUBSTITUTE($I450,"-","",1),$K451:$K1119,0)),INDEX($R451:$R1119,MATCH($K450,$K451:$K1119,0)))))</f>
        <v/>
      </c>
      <c r="S450" s="35" t="str">
        <f t="shared" si="2"/>
        <v/>
      </c>
      <c r="T450" s="37" t="str">
        <f t="shared" si="3"/>
        <v/>
      </c>
      <c r="U450" s="38" t="str">
        <f t="shared" si="4"/>
        <v/>
      </c>
      <c r="V450" s="31" t="str">
        <f t="shared" si="5"/>
        <v/>
      </c>
      <c r="W450" s="39" t="str">
        <f>IFERROR(__xludf.DUMMYFUNCTION(" IF(Account!$F450&lt;&gt;"""", SPLIT(Account!$F450, "" ""), """")"),"")</f>
        <v/>
      </c>
      <c r="X450" s="40"/>
      <c r="Y450" s="40"/>
      <c r="Z450" s="40"/>
      <c r="AA450" s="40"/>
      <c r="AB450" s="40"/>
      <c r="AC450" s="40"/>
      <c r="AD450" s="40"/>
      <c r="AE450" s="40"/>
      <c r="AF450" s="40"/>
      <c r="AG450" s="40"/>
      <c r="AH450" s="40"/>
      <c r="AI450" s="40"/>
      <c r="AJ450" s="40"/>
      <c r="AK450" s="40"/>
    </row>
    <row r="451">
      <c r="A451" s="10"/>
      <c r="B451" s="10"/>
      <c r="C451" s="10"/>
      <c r="D451" s="10"/>
      <c r="E451" s="10"/>
      <c r="F451" s="12"/>
      <c r="G451" s="300"/>
      <c r="H451" s="10"/>
      <c r="I451" s="10"/>
      <c r="J451" s="10"/>
      <c r="K451" s="10"/>
      <c r="L451" s="12"/>
      <c r="M451" s="29" t="str">
        <f t="shared" si="1"/>
        <v/>
      </c>
      <c r="N451" s="31" t="str">
        <f>IFERROR(__xludf.DUMMYFUNCTION("IF(Account!$F451&lt;&gt;"""", VALUE(REGEXREPLACE($I451, ""\,"", ""."")), """")"),"")</f>
        <v/>
      </c>
      <c r="O451" s="33" t="str">
        <f>IF(Account!$F451&lt;&gt;"", DATEVALUE(MID($A451,4,3) &amp; LEFT($A451,3) &amp; RIGHT($A451,4)) + TIMEVALUE($B451), "")</f>
        <v/>
      </c>
      <c r="P451" s="34" t="str">
        <f>IF(Account!$F451&lt;&gt;"", DATEVALUE(MID($C451,4,3) &amp; LEFT($C451,3) &amp; RIGHT($C451,4)), "")</f>
        <v/>
      </c>
      <c r="Q451" s="35" t="str">
        <f t="array" ref="Q451">IF($R451&lt;&gt;"",IFERROR(INDEX(Investment!$A:$A,MATCH($R451,Investment!$H:$H,0))),)</f>
        <v/>
      </c>
      <c r="R451" s="36" t="str">
        <f t="array" ref="R451">IF(AND($Y451="change",$H451="EUR"),IF(AND($AA451="Crédit",$O451=$O452),$R452,IF(AND($AA451="Débit",$O451=$O450),$R450)),IF(OR(AND(OR($E451&lt;&gt;"",$M451=""),$N451&lt;&gt;0),$A451=""),IFERROR(INDEX(Investment!$H:$H,MATCH($E451,Investment!$F:$F,0))),IFERROR(INDEX($R452:$R1119,MATCH(SUBSTITUTE($I451,"-","",1),$K452:$K1119,0)),INDEX($R452:$R1119,MATCH($K451,$K452:$K1119,0)))))</f>
        <v/>
      </c>
      <c r="S451" s="35" t="str">
        <f t="shared" si="2"/>
        <v/>
      </c>
      <c r="T451" s="37" t="str">
        <f t="shared" si="3"/>
        <v/>
      </c>
      <c r="U451" s="38" t="str">
        <f t="shared" si="4"/>
        <v/>
      </c>
      <c r="V451" s="31" t="str">
        <f t="shared" si="5"/>
        <v/>
      </c>
      <c r="W451" s="39" t="str">
        <f>IFERROR(__xludf.DUMMYFUNCTION(" IF(Account!$F451&lt;&gt;"""", SPLIT(Account!$F451, "" ""), """")"),"")</f>
        <v/>
      </c>
      <c r="X451" s="40"/>
      <c r="Y451" s="40"/>
      <c r="Z451" s="40"/>
      <c r="AA451" s="40"/>
      <c r="AB451" s="40"/>
      <c r="AC451" s="40"/>
      <c r="AD451" s="40"/>
      <c r="AE451" s="40"/>
      <c r="AF451" s="40"/>
      <c r="AG451" s="40"/>
      <c r="AH451" s="40"/>
      <c r="AI451" s="40"/>
      <c r="AJ451" s="40"/>
      <c r="AK451" s="40"/>
    </row>
    <row r="452">
      <c r="A452" s="10"/>
      <c r="B452" s="10"/>
      <c r="C452" s="10"/>
      <c r="D452" s="10"/>
      <c r="E452" s="10"/>
      <c r="F452" s="12"/>
      <c r="G452" s="10"/>
      <c r="H452" s="10"/>
      <c r="I452" s="10"/>
      <c r="J452" s="10"/>
      <c r="K452" s="10"/>
      <c r="L452" s="12"/>
      <c r="M452" s="29" t="str">
        <f t="shared" si="1"/>
        <v/>
      </c>
      <c r="N452" s="31" t="str">
        <f>IFERROR(__xludf.DUMMYFUNCTION("IF(Account!$F452&lt;&gt;"""", VALUE(REGEXREPLACE($I452, ""\,"", ""."")), """")"),"")</f>
        <v/>
      </c>
      <c r="O452" s="33" t="str">
        <f>IF(Account!$F452&lt;&gt;"", DATEVALUE(MID($A452,4,3) &amp; LEFT($A452,3) &amp; RIGHT($A452,4)) + TIMEVALUE($B452), "")</f>
        <v/>
      </c>
      <c r="P452" s="34" t="str">
        <f>IF(Account!$F452&lt;&gt;"", DATEVALUE(MID($C452,4,3) &amp; LEFT($C452,3) &amp; RIGHT($C452,4)), "")</f>
        <v/>
      </c>
      <c r="Q452" s="35" t="str">
        <f t="array" ref="Q452">IF($R452&lt;&gt;"",IFERROR(INDEX(Investment!$A:$A,MATCH($R452,Investment!$H:$H,0))),)</f>
        <v/>
      </c>
      <c r="R452" s="36" t="str">
        <f t="array" ref="R452">IF(AND($Y452="change",$H452="EUR"),IF(AND($AA452="Crédit",$O452=$O453),$R453,IF(AND($AA452="Débit",$O452=$O451),$R451)),IF(OR(AND(OR($E452&lt;&gt;"",$M452=""),$N452&lt;&gt;0),$A452=""),IFERROR(INDEX(Investment!$H:$H,MATCH($E452,Investment!$F:$F,0))),IFERROR(INDEX($R453:$R1119,MATCH(SUBSTITUTE($I452,"-","",1),$K453:$K1119,0)),INDEX($R453:$R1119,MATCH($K452,$K453:$K1119,0)))))</f>
        <v/>
      </c>
      <c r="S452" s="35" t="str">
        <f t="shared" si="2"/>
        <v/>
      </c>
      <c r="T452" s="37" t="str">
        <f t="shared" si="3"/>
        <v/>
      </c>
      <c r="U452" s="38" t="str">
        <f t="shared" si="4"/>
        <v/>
      </c>
      <c r="V452" s="31" t="str">
        <f t="shared" si="5"/>
        <v/>
      </c>
      <c r="W452" s="39" t="str">
        <f>IFERROR(__xludf.DUMMYFUNCTION(" IF(Account!$F452&lt;&gt;"""", SPLIT(Account!$F452, "" ""), """")"),"")</f>
        <v/>
      </c>
      <c r="X452" s="40"/>
      <c r="Y452" s="40"/>
      <c r="Z452" s="40"/>
      <c r="AA452" s="40"/>
      <c r="AB452" s="40"/>
      <c r="AC452" s="40"/>
      <c r="AD452" s="40"/>
      <c r="AE452" s="40"/>
      <c r="AF452" s="40"/>
      <c r="AG452" s="40"/>
      <c r="AH452" s="40"/>
      <c r="AI452" s="40"/>
      <c r="AJ452" s="40"/>
      <c r="AK452" s="40"/>
    </row>
    <row r="453">
      <c r="A453" s="10"/>
      <c r="B453" s="10"/>
      <c r="C453" s="10"/>
      <c r="D453" s="10"/>
      <c r="E453" s="10"/>
      <c r="F453" s="12"/>
      <c r="G453" s="300"/>
      <c r="H453" s="10"/>
      <c r="I453" s="10"/>
      <c r="J453" s="10"/>
      <c r="K453" s="10"/>
      <c r="L453" s="12"/>
      <c r="M453" s="29" t="str">
        <f t="shared" si="1"/>
        <v/>
      </c>
      <c r="N453" s="31" t="str">
        <f>IFERROR(__xludf.DUMMYFUNCTION("IF(Account!$F453&lt;&gt;"""", VALUE(REGEXREPLACE($I453, ""\,"", ""."")), """")"),"")</f>
        <v/>
      </c>
      <c r="O453" s="33" t="str">
        <f>IF(Account!$F453&lt;&gt;"", DATEVALUE(MID($A453,4,3) &amp; LEFT($A453,3) &amp; RIGHT($A453,4)) + TIMEVALUE($B453), "")</f>
        <v/>
      </c>
      <c r="P453" s="34" t="str">
        <f>IF(Account!$F453&lt;&gt;"", DATEVALUE(MID($C453,4,3) &amp; LEFT($C453,3) &amp; RIGHT($C453,4)), "")</f>
        <v/>
      </c>
      <c r="Q453" s="35" t="str">
        <f t="array" ref="Q453">IF($R453&lt;&gt;"",IFERROR(INDEX(Investment!$A:$A,MATCH($R453,Investment!$H:$H,0))),)</f>
        <v/>
      </c>
      <c r="R453" s="36" t="str">
        <f t="array" ref="R453">IF(AND($Y453="change",$H453="EUR"),IF(AND($AA453="Crédit",$O453=$O454),$R454,IF(AND($AA453="Débit",$O453=$O452),$R452)),IF(OR(AND(OR($E453&lt;&gt;"",$M453=""),$N453&lt;&gt;0),$A453=""),IFERROR(INDEX(Investment!$H:$H,MATCH($E453,Investment!$F:$F,0))),IFERROR(INDEX($R454:$R1119,MATCH(SUBSTITUTE($I453,"-","",1),$K454:$K1119,0)),INDEX($R454:$R1119,MATCH($K453,$K454:$K1119,0)))))</f>
        <v/>
      </c>
      <c r="S453" s="35" t="str">
        <f t="shared" si="2"/>
        <v/>
      </c>
      <c r="T453" s="37" t="str">
        <f t="shared" si="3"/>
        <v/>
      </c>
      <c r="U453" s="38" t="str">
        <f t="shared" si="4"/>
        <v/>
      </c>
      <c r="V453" s="31" t="str">
        <f t="shared" si="5"/>
        <v/>
      </c>
      <c r="W453" s="39" t="str">
        <f>IFERROR(__xludf.DUMMYFUNCTION(" IF(Account!$F453&lt;&gt;"""", SPLIT(Account!$F453, "" ""), """")"),"")</f>
        <v/>
      </c>
      <c r="X453" s="40"/>
      <c r="Y453" s="40"/>
      <c r="Z453" s="40"/>
      <c r="AA453" s="40"/>
      <c r="AB453" s="40"/>
      <c r="AC453" s="40"/>
      <c r="AD453" s="40"/>
      <c r="AE453" s="40"/>
      <c r="AF453" s="40"/>
      <c r="AG453" s="40"/>
      <c r="AH453" s="40"/>
      <c r="AI453" s="40"/>
      <c r="AJ453" s="40"/>
      <c r="AK453" s="40"/>
    </row>
    <row r="454">
      <c r="A454" s="10"/>
      <c r="B454" s="10"/>
      <c r="C454" s="10"/>
      <c r="D454" s="10"/>
      <c r="E454" s="10"/>
      <c r="F454" s="12"/>
      <c r="G454" s="300"/>
      <c r="H454" s="10"/>
      <c r="I454" s="10"/>
      <c r="J454" s="10"/>
      <c r="K454" s="10"/>
      <c r="L454" s="12"/>
      <c r="M454" s="29" t="str">
        <f t="shared" si="1"/>
        <v/>
      </c>
      <c r="N454" s="31" t="str">
        <f>IFERROR(__xludf.DUMMYFUNCTION("IF(Account!$F454&lt;&gt;"""", VALUE(REGEXREPLACE($I454, ""\,"", ""."")), """")"),"")</f>
        <v/>
      </c>
      <c r="O454" s="33" t="str">
        <f>IF(Account!$F454&lt;&gt;"", DATEVALUE(MID($A454,4,3) &amp; LEFT($A454,3) &amp; RIGHT($A454,4)) + TIMEVALUE($B454), "")</f>
        <v/>
      </c>
      <c r="P454" s="34" t="str">
        <f>IF(Account!$F454&lt;&gt;"", DATEVALUE(MID($C454,4,3) &amp; LEFT($C454,3) &amp; RIGHT($C454,4)), "")</f>
        <v/>
      </c>
      <c r="Q454" s="35" t="str">
        <f t="array" ref="Q454">IF($R454&lt;&gt;"",IFERROR(INDEX(Investment!$A:$A,MATCH($R454,Investment!$H:$H,0))),)</f>
        <v/>
      </c>
      <c r="R454" s="36" t="str">
        <f t="array" ref="R454">IF(AND($Y454="change",$H454="EUR"),IF(AND($AA454="Crédit",$O454=$O455),$R455,IF(AND($AA454="Débit",$O454=$O453),$R453)),IF(OR(AND(OR($E454&lt;&gt;"",$M454=""),$N454&lt;&gt;0),$A454=""),IFERROR(INDEX(Investment!$H:$H,MATCH($E454,Investment!$F:$F,0))),IFERROR(INDEX($R455:$R1119,MATCH(SUBSTITUTE($I454,"-","",1),$K455:$K1119,0)),INDEX($R455:$R1119,MATCH($K454,$K455:$K1119,0)))))</f>
        <v/>
      </c>
      <c r="S454" s="35" t="str">
        <f t="shared" si="2"/>
        <v/>
      </c>
      <c r="T454" s="37" t="str">
        <f t="shared" si="3"/>
        <v/>
      </c>
      <c r="U454" s="38" t="str">
        <f t="shared" si="4"/>
        <v/>
      </c>
      <c r="V454" s="31" t="str">
        <f t="shared" si="5"/>
        <v/>
      </c>
      <c r="W454" s="39" t="str">
        <f>IFERROR(__xludf.DUMMYFUNCTION(" IF(Account!$F454&lt;&gt;"""", SPLIT(Account!$F454, "" ""), """")"),"")</f>
        <v/>
      </c>
      <c r="X454" s="40"/>
      <c r="Y454" s="40"/>
      <c r="Z454" s="40"/>
      <c r="AA454" s="40"/>
      <c r="AB454" s="40"/>
      <c r="AC454" s="40"/>
      <c r="AD454" s="40"/>
      <c r="AE454" s="40"/>
      <c r="AF454" s="40"/>
      <c r="AG454" s="40"/>
      <c r="AH454" s="40"/>
      <c r="AI454" s="40"/>
      <c r="AJ454" s="40"/>
      <c r="AK454" s="40"/>
    </row>
    <row r="455">
      <c r="A455" s="10"/>
      <c r="B455" s="10"/>
      <c r="C455" s="10"/>
      <c r="D455" s="10"/>
      <c r="E455" s="10"/>
      <c r="F455" s="12"/>
      <c r="G455" s="300"/>
      <c r="H455" s="10"/>
      <c r="I455" s="10"/>
      <c r="J455" s="10"/>
      <c r="K455" s="10"/>
      <c r="L455" s="12"/>
      <c r="M455" s="29" t="str">
        <f t="shared" si="1"/>
        <v/>
      </c>
      <c r="N455" s="31" t="str">
        <f>IFERROR(__xludf.DUMMYFUNCTION("IF(Account!$F455&lt;&gt;"""", VALUE(REGEXREPLACE($I455, ""\,"", ""."")), """")"),"")</f>
        <v/>
      </c>
      <c r="O455" s="33" t="str">
        <f>IF(Account!$F455&lt;&gt;"", DATEVALUE(MID($A455,4,3) &amp; LEFT($A455,3) &amp; RIGHT($A455,4)) + TIMEVALUE($B455), "")</f>
        <v/>
      </c>
      <c r="P455" s="34" t="str">
        <f>IF(Account!$F455&lt;&gt;"", DATEVALUE(MID($C455,4,3) &amp; LEFT($C455,3) &amp; RIGHT($C455,4)), "")</f>
        <v/>
      </c>
      <c r="Q455" s="35" t="str">
        <f t="array" ref="Q455">IF($R455&lt;&gt;"",IFERROR(INDEX(Investment!$A:$A,MATCH($R455,Investment!$H:$H,0))),)</f>
        <v/>
      </c>
      <c r="R455" s="36" t="str">
        <f t="array" ref="R455">IF(AND($Y455="change",$H455="EUR"),IF(AND($AA455="Crédit",$O455=$O456),$R456,IF(AND($AA455="Débit",$O455=$O454),$R454)),IF(OR(AND(OR($E455&lt;&gt;"",$M455=""),$N455&lt;&gt;0),$A455=""),IFERROR(INDEX(Investment!$H:$H,MATCH($E455,Investment!$F:$F,0))),IFERROR(INDEX($R456:$R1119,MATCH(SUBSTITUTE($I455,"-","",1),$K456:$K1119,0)),INDEX($R456:$R1119,MATCH($K455,$K456:$K1119,0)))))</f>
        <v/>
      </c>
      <c r="S455" s="35" t="str">
        <f t="shared" si="2"/>
        <v/>
      </c>
      <c r="T455" s="37" t="str">
        <f t="shared" si="3"/>
        <v/>
      </c>
      <c r="U455" s="38" t="str">
        <f t="shared" si="4"/>
        <v/>
      </c>
      <c r="V455" s="31" t="str">
        <f t="shared" si="5"/>
        <v/>
      </c>
      <c r="W455" s="39" t="str">
        <f>IFERROR(__xludf.DUMMYFUNCTION(" IF(Account!$F455&lt;&gt;"""", SPLIT(Account!$F455, "" ""), """")"),"")</f>
        <v/>
      </c>
      <c r="X455" s="40"/>
      <c r="Y455" s="40"/>
      <c r="Z455" s="40"/>
      <c r="AA455" s="40"/>
      <c r="AB455" s="40"/>
      <c r="AC455" s="40"/>
      <c r="AD455" s="40"/>
      <c r="AE455" s="40"/>
      <c r="AF455" s="40"/>
      <c r="AG455" s="40"/>
      <c r="AH455" s="40"/>
      <c r="AI455" s="40"/>
      <c r="AJ455" s="40"/>
      <c r="AK455" s="40"/>
    </row>
    <row r="456">
      <c r="A456" s="10"/>
      <c r="B456" s="10"/>
      <c r="C456" s="10"/>
      <c r="D456" s="10"/>
      <c r="E456" s="10"/>
      <c r="F456" s="12"/>
      <c r="G456" s="300"/>
      <c r="H456" s="10"/>
      <c r="I456" s="10"/>
      <c r="J456" s="10"/>
      <c r="K456" s="10"/>
      <c r="L456" s="12"/>
      <c r="M456" s="29" t="str">
        <f t="shared" si="1"/>
        <v/>
      </c>
      <c r="N456" s="31" t="str">
        <f>IFERROR(__xludf.DUMMYFUNCTION("IF(Account!$F456&lt;&gt;"""", VALUE(REGEXREPLACE($I456, ""\,"", ""."")), """")"),"")</f>
        <v/>
      </c>
      <c r="O456" s="33" t="str">
        <f>IF(Account!$F456&lt;&gt;"", DATEVALUE(MID($A456,4,3) &amp; LEFT($A456,3) &amp; RIGHT($A456,4)) + TIMEVALUE($B456), "")</f>
        <v/>
      </c>
      <c r="P456" s="34" t="str">
        <f>IF(Account!$F456&lt;&gt;"", DATEVALUE(MID($C456,4,3) &amp; LEFT($C456,3) &amp; RIGHT($C456,4)), "")</f>
        <v/>
      </c>
      <c r="Q456" s="35" t="str">
        <f t="array" ref="Q456">IF($R456&lt;&gt;"",IFERROR(INDEX(Investment!$A:$A,MATCH($R456,Investment!$H:$H,0))),)</f>
        <v/>
      </c>
      <c r="R456" s="36" t="str">
        <f t="array" ref="R456">IF(AND($Y456="change",$H456="EUR"),IF(AND($AA456="Crédit",$O456=$O457),$R457,IF(AND($AA456="Débit",$O456=$O455),$R455)),IF(OR(AND(OR($E456&lt;&gt;"",$M456=""),$N456&lt;&gt;0),$A456=""),IFERROR(INDEX(Investment!$H:$H,MATCH($E456,Investment!$F:$F,0))),IFERROR(INDEX($R457:$R1119,MATCH(SUBSTITUTE($I456,"-","",1),$K457:$K1119,0)),INDEX($R457:$R1119,MATCH($K456,$K457:$K1119,0)))))</f>
        <v/>
      </c>
      <c r="S456" s="35" t="str">
        <f t="shared" si="2"/>
        <v/>
      </c>
      <c r="T456" s="37" t="str">
        <f t="shared" si="3"/>
        <v/>
      </c>
      <c r="U456" s="38" t="str">
        <f t="shared" si="4"/>
        <v/>
      </c>
      <c r="V456" s="31" t="str">
        <f t="shared" si="5"/>
        <v/>
      </c>
      <c r="W456" s="39" t="str">
        <f>IFERROR(__xludf.DUMMYFUNCTION(" IF(Account!$F456&lt;&gt;"""", SPLIT(Account!$F456, "" ""), """")"),"")</f>
        <v/>
      </c>
      <c r="X456" s="40"/>
      <c r="Y456" s="40"/>
      <c r="Z456" s="40"/>
      <c r="AA456" s="40"/>
      <c r="AB456" s="40"/>
      <c r="AC456" s="40"/>
      <c r="AD456" s="40"/>
      <c r="AE456" s="40"/>
      <c r="AF456" s="40"/>
      <c r="AG456" s="40"/>
      <c r="AH456" s="40"/>
      <c r="AI456" s="40"/>
      <c r="AJ456" s="40"/>
      <c r="AK456" s="40"/>
    </row>
    <row r="457">
      <c r="A457" s="10"/>
      <c r="B457" s="10"/>
      <c r="C457" s="10"/>
      <c r="D457" s="10"/>
      <c r="E457" s="10"/>
      <c r="F457" s="12"/>
      <c r="G457" s="10"/>
      <c r="H457" s="10"/>
      <c r="I457" s="10"/>
      <c r="J457" s="10"/>
      <c r="K457" s="10"/>
      <c r="L457" s="12"/>
      <c r="M457" s="29" t="str">
        <f t="shared" si="1"/>
        <v/>
      </c>
      <c r="N457" s="31" t="str">
        <f>IFERROR(__xludf.DUMMYFUNCTION("IF(Account!$F457&lt;&gt;"""", VALUE(REGEXREPLACE($I457, ""\,"", ""."")), """")"),"")</f>
        <v/>
      </c>
      <c r="O457" s="33" t="str">
        <f>IF(Account!$F457&lt;&gt;"", DATEVALUE(MID($A457,4,3) &amp; LEFT($A457,3) &amp; RIGHT($A457,4)) + TIMEVALUE($B457), "")</f>
        <v/>
      </c>
      <c r="P457" s="34" t="str">
        <f>IF(Account!$F457&lt;&gt;"", DATEVALUE(MID($C457,4,3) &amp; LEFT($C457,3) &amp; RIGHT($C457,4)), "")</f>
        <v/>
      </c>
      <c r="Q457" s="35" t="str">
        <f t="array" ref="Q457">IF($R457&lt;&gt;"",IFERROR(INDEX(Investment!$A:$A,MATCH($R457,Investment!$H:$H,0))),)</f>
        <v/>
      </c>
      <c r="R457" s="36" t="str">
        <f t="array" ref="R457">IF(AND($Y457="change",$H457="EUR"),IF(AND($AA457="Crédit",$O457=$O458),$R458,IF(AND($AA457="Débit",$O457=$O456),$R456)),IF(OR(AND(OR($E457&lt;&gt;"",$M457=""),$N457&lt;&gt;0),$A457=""),IFERROR(INDEX(Investment!$H:$H,MATCH($E457,Investment!$F:$F,0))),IFERROR(INDEX($R458:$R1119,MATCH(SUBSTITUTE($I457,"-","",1),$K458:$K1119,0)),INDEX($R458:$R1119,MATCH($K457,$K458:$K1119,0)))))</f>
        <v/>
      </c>
      <c r="S457" s="35" t="str">
        <f t="shared" si="2"/>
        <v/>
      </c>
      <c r="T457" s="37" t="str">
        <f t="shared" si="3"/>
        <v/>
      </c>
      <c r="U457" s="38" t="str">
        <f t="shared" si="4"/>
        <v/>
      </c>
      <c r="V457" s="31" t="str">
        <f t="shared" si="5"/>
        <v/>
      </c>
      <c r="W457" s="39" t="str">
        <f>IFERROR(__xludf.DUMMYFUNCTION(" IF(Account!$F457&lt;&gt;"""", SPLIT(Account!$F457, "" ""), """")"),"")</f>
        <v/>
      </c>
      <c r="X457" s="40"/>
      <c r="Y457" s="40"/>
      <c r="Z457" s="40"/>
      <c r="AA457" s="40"/>
      <c r="AB457" s="40"/>
      <c r="AC457" s="40"/>
      <c r="AD457" s="40"/>
      <c r="AE457" s="40"/>
      <c r="AF457" s="40"/>
      <c r="AG457" s="40"/>
      <c r="AH457" s="40"/>
      <c r="AI457" s="40"/>
      <c r="AJ457" s="40"/>
      <c r="AK457" s="40"/>
    </row>
    <row r="458">
      <c r="A458" s="10"/>
      <c r="B458" s="10"/>
      <c r="C458" s="10"/>
      <c r="D458" s="10"/>
      <c r="E458" s="10"/>
      <c r="F458" s="12"/>
      <c r="G458" s="300"/>
      <c r="H458" s="10"/>
      <c r="I458" s="10"/>
      <c r="J458" s="10"/>
      <c r="K458" s="10"/>
      <c r="L458" s="12"/>
      <c r="M458" s="29" t="str">
        <f t="shared" si="1"/>
        <v/>
      </c>
      <c r="N458" s="31" t="str">
        <f>IFERROR(__xludf.DUMMYFUNCTION("IF(Account!$F458&lt;&gt;"""", VALUE(REGEXREPLACE($I458, ""\,"", ""."")), """")"),"")</f>
        <v/>
      </c>
      <c r="O458" s="33" t="str">
        <f>IF(Account!$F458&lt;&gt;"", DATEVALUE(MID($A458,4,3) &amp; LEFT($A458,3) &amp; RIGHT($A458,4)) + TIMEVALUE($B458), "")</f>
        <v/>
      </c>
      <c r="P458" s="34" t="str">
        <f>IF(Account!$F458&lt;&gt;"", DATEVALUE(MID($C458,4,3) &amp; LEFT($C458,3) &amp; RIGHT($C458,4)), "")</f>
        <v/>
      </c>
      <c r="Q458" s="35" t="str">
        <f t="array" ref="Q458">IF($R458&lt;&gt;"",IFERROR(INDEX(Investment!$A:$A,MATCH($R458,Investment!$H:$H,0))),)</f>
        <v/>
      </c>
      <c r="R458" s="36" t="str">
        <f t="array" ref="R458">IF(AND($Y458="change",$H458="EUR"),IF(AND($AA458="Crédit",$O458=$O459),$R459,IF(AND($AA458="Débit",$O458=$O457),$R457)),IF(OR(AND(OR($E458&lt;&gt;"",$M458=""),$N458&lt;&gt;0),$A458=""),IFERROR(INDEX(Investment!$H:$H,MATCH($E458,Investment!$F:$F,0))),IFERROR(INDEX($R459:$R1119,MATCH(SUBSTITUTE($I458,"-","",1),$K459:$K1119,0)),INDEX($R459:$R1119,MATCH($K458,$K459:$K1119,0)))))</f>
        <v/>
      </c>
      <c r="S458" s="35" t="str">
        <f t="shared" si="2"/>
        <v/>
      </c>
      <c r="T458" s="37" t="str">
        <f t="shared" si="3"/>
        <v/>
      </c>
      <c r="U458" s="38" t="str">
        <f t="shared" si="4"/>
        <v/>
      </c>
      <c r="V458" s="31" t="str">
        <f t="shared" si="5"/>
        <v/>
      </c>
      <c r="W458" s="39" t="str">
        <f>IFERROR(__xludf.DUMMYFUNCTION(" IF(Account!$F458&lt;&gt;"""", SPLIT(Account!$F458, "" ""), """")"),"")</f>
        <v/>
      </c>
      <c r="X458" s="40"/>
      <c r="Y458" s="40"/>
      <c r="Z458" s="40"/>
      <c r="AA458" s="40"/>
      <c r="AB458" s="40"/>
      <c r="AC458" s="40"/>
      <c r="AD458" s="40"/>
      <c r="AE458" s="40"/>
      <c r="AF458" s="40"/>
      <c r="AG458" s="40"/>
      <c r="AH458" s="40"/>
      <c r="AI458" s="40"/>
      <c r="AJ458" s="40"/>
      <c r="AK458" s="40"/>
    </row>
    <row r="459">
      <c r="A459" s="10"/>
      <c r="B459" s="10"/>
      <c r="C459" s="10"/>
      <c r="D459" s="10"/>
      <c r="E459" s="10"/>
      <c r="F459" s="12"/>
      <c r="G459" s="10"/>
      <c r="H459" s="10"/>
      <c r="I459" s="10"/>
      <c r="J459" s="10"/>
      <c r="K459" s="10"/>
      <c r="L459" s="12"/>
      <c r="M459" s="29" t="str">
        <f t="shared" si="1"/>
        <v/>
      </c>
      <c r="N459" s="31" t="str">
        <f>IFERROR(__xludf.DUMMYFUNCTION("IF(Account!$F459&lt;&gt;"""", VALUE(REGEXREPLACE($I459, ""\,"", ""."")), """")"),"")</f>
        <v/>
      </c>
      <c r="O459" s="33" t="str">
        <f>IF(Account!$F459&lt;&gt;"", DATEVALUE(MID($A459,4,3) &amp; LEFT($A459,3) &amp; RIGHT($A459,4)) + TIMEVALUE($B459), "")</f>
        <v/>
      </c>
      <c r="P459" s="34" t="str">
        <f>IF(Account!$F459&lt;&gt;"", DATEVALUE(MID($C459,4,3) &amp; LEFT($C459,3) &amp; RIGHT($C459,4)), "")</f>
        <v/>
      </c>
      <c r="Q459" s="35" t="str">
        <f t="array" ref="Q459">IF($R459&lt;&gt;"",IFERROR(INDEX(Investment!$A:$A,MATCH($R459,Investment!$H:$H,0))),)</f>
        <v/>
      </c>
      <c r="R459" s="36" t="str">
        <f t="array" ref="R459">IF(AND($Y459="change",$H459="EUR"),IF(AND($AA459="Crédit",$O459=$O460),$R460,IF(AND($AA459="Débit",$O459=$O458),$R458)),IF(OR(AND(OR($E459&lt;&gt;"",$M459=""),$N459&lt;&gt;0),$A459=""),IFERROR(INDEX(Investment!$H:$H,MATCH($E459,Investment!$F:$F,0))),IFERROR(INDEX($R460:$R1119,MATCH(SUBSTITUTE($I459,"-","",1),$K460:$K1119,0)),INDEX($R460:$R1119,MATCH($K459,$K460:$K1119,0)))))</f>
        <v/>
      </c>
      <c r="S459" s="35" t="str">
        <f t="shared" si="2"/>
        <v/>
      </c>
      <c r="T459" s="37" t="str">
        <f t="shared" si="3"/>
        <v/>
      </c>
      <c r="U459" s="38" t="str">
        <f t="shared" si="4"/>
        <v/>
      </c>
      <c r="V459" s="31" t="str">
        <f t="shared" si="5"/>
        <v/>
      </c>
      <c r="W459" s="39" t="str">
        <f>IFERROR(__xludf.DUMMYFUNCTION(" IF(Account!$F459&lt;&gt;"""", SPLIT(Account!$F459, "" ""), """")"),"")</f>
        <v/>
      </c>
      <c r="X459" s="40"/>
      <c r="Y459" s="40"/>
      <c r="Z459" s="40"/>
      <c r="AA459" s="40"/>
      <c r="AB459" s="40"/>
      <c r="AC459" s="40"/>
      <c r="AD459" s="40"/>
      <c r="AE459" s="40"/>
      <c r="AF459" s="40"/>
      <c r="AG459" s="40"/>
      <c r="AH459" s="40"/>
      <c r="AI459" s="40"/>
      <c r="AJ459" s="40"/>
      <c r="AK459" s="40"/>
    </row>
    <row r="460">
      <c r="A460" s="10"/>
      <c r="B460" s="10"/>
      <c r="C460" s="10"/>
      <c r="D460" s="10"/>
      <c r="E460" s="10"/>
      <c r="F460" s="12"/>
      <c r="G460" s="300"/>
      <c r="H460" s="10"/>
      <c r="I460" s="10"/>
      <c r="J460" s="10"/>
      <c r="K460" s="10"/>
      <c r="L460" s="12"/>
      <c r="M460" s="29" t="str">
        <f t="shared" si="1"/>
        <v/>
      </c>
      <c r="N460" s="31" t="str">
        <f>IFERROR(__xludf.DUMMYFUNCTION("IF(Account!$F460&lt;&gt;"""", VALUE(REGEXREPLACE($I460, ""\,"", ""."")), """")"),"")</f>
        <v/>
      </c>
      <c r="O460" s="33" t="str">
        <f>IF(Account!$F460&lt;&gt;"", DATEVALUE(MID($A460,4,3) &amp; LEFT($A460,3) &amp; RIGHT($A460,4)) + TIMEVALUE($B460), "")</f>
        <v/>
      </c>
      <c r="P460" s="34" t="str">
        <f>IF(Account!$F460&lt;&gt;"", DATEVALUE(MID($C460,4,3) &amp; LEFT($C460,3) &amp; RIGHT($C460,4)), "")</f>
        <v/>
      </c>
      <c r="Q460" s="35" t="str">
        <f t="array" ref="Q460">IF($R460&lt;&gt;"",IFERROR(INDEX(Investment!$A:$A,MATCH($R460,Investment!$H:$H,0))),)</f>
        <v/>
      </c>
      <c r="R460" s="36" t="str">
        <f t="array" ref="R460">IF(AND($Y460="change",$H460="EUR"),IF(AND($AA460="Crédit",$O460=$O461),$R461,IF(AND($AA460="Débit",$O460=$O459),$R459)),IF(OR(AND(OR($E460&lt;&gt;"",$M460=""),$N460&lt;&gt;0),$A460=""),IFERROR(INDEX(Investment!$H:$H,MATCH($E460,Investment!$F:$F,0))),IFERROR(INDEX($R461:$R1119,MATCH(SUBSTITUTE($I460,"-","",1),$K461:$K1119,0)),INDEX($R461:$R1119,MATCH($K460,$K461:$K1119,0)))))</f>
        <v/>
      </c>
      <c r="S460" s="35" t="str">
        <f t="shared" si="2"/>
        <v/>
      </c>
      <c r="T460" s="37" t="str">
        <f t="shared" si="3"/>
        <v/>
      </c>
      <c r="U460" s="38" t="str">
        <f t="shared" si="4"/>
        <v/>
      </c>
      <c r="V460" s="31" t="str">
        <f t="shared" si="5"/>
        <v/>
      </c>
      <c r="W460" s="39" t="str">
        <f>IFERROR(__xludf.DUMMYFUNCTION(" IF(Account!$F460&lt;&gt;"""", SPLIT(Account!$F460, "" ""), """")"),"")</f>
        <v/>
      </c>
      <c r="X460" s="40"/>
      <c r="Y460" s="40"/>
      <c r="Z460" s="40"/>
      <c r="AA460" s="40"/>
      <c r="AB460" s="40"/>
      <c r="AC460" s="40"/>
      <c r="AD460" s="40"/>
      <c r="AE460" s="40"/>
      <c r="AF460" s="40"/>
      <c r="AG460" s="40"/>
      <c r="AH460" s="40"/>
      <c r="AI460" s="40"/>
      <c r="AJ460" s="40"/>
      <c r="AK460" s="40"/>
    </row>
    <row r="461">
      <c r="A461" s="10"/>
      <c r="B461" s="10"/>
      <c r="C461" s="10"/>
      <c r="D461" s="10"/>
      <c r="E461" s="10"/>
      <c r="F461" s="12"/>
      <c r="G461" s="300"/>
      <c r="H461" s="10"/>
      <c r="I461" s="10"/>
      <c r="J461" s="10"/>
      <c r="K461" s="10"/>
      <c r="L461" s="12"/>
      <c r="M461" s="29" t="str">
        <f t="shared" si="1"/>
        <v/>
      </c>
      <c r="N461" s="31" t="str">
        <f>IFERROR(__xludf.DUMMYFUNCTION("IF(Account!$F461&lt;&gt;"""", VALUE(REGEXREPLACE($I461, ""\,"", ""."")), """")"),"")</f>
        <v/>
      </c>
      <c r="O461" s="33" t="str">
        <f>IF(Account!$F461&lt;&gt;"", DATEVALUE(MID($A461,4,3) &amp; LEFT($A461,3) &amp; RIGHT($A461,4)) + TIMEVALUE($B461), "")</f>
        <v/>
      </c>
      <c r="P461" s="34" t="str">
        <f>IF(Account!$F461&lt;&gt;"", DATEVALUE(MID($C461,4,3) &amp; LEFT($C461,3) &amp; RIGHT($C461,4)), "")</f>
        <v/>
      </c>
      <c r="Q461" s="35" t="str">
        <f t="array" ref="Q461">IF($R461&lt;&gt;"",IFERROR(INDEX(Investment!$A:$A,MATCH($R461,Investment!$H:$H,0))),)</f>
        <v/>
      </c>
      <c r="R461" s="36" t="str">
        <f t="array" ref="R461">IF(AND($Y461="change",$H461="EUR"),IF(AND($AA461="Crédit",$O461=$O462),$R462,IF(AND($AA461="Débit",$O461=$O460),$R460)),IF(OR(AND(OR($E461&lt;&gt;"",$M461=""),$N461&lt;&gt;0),$A461=""),IFERROR(INDEX(Investment!$H:$H,MATCH($E461,Investment!$F:$F,0))),IFERROR(INDEX($R462:$R1119,MATCH(SUBSTITUTE($I461,"-","",1),$K462:$K1119,0)),INDEX($R462:$R1119,MATCH($K461,$K462:$K1119,0)))))</f>
        <v/>
      </c>
      <c r="S461" s="35" t="str">
        <f t="shared" si="2"/>
        <v/>
      </c>
      <c r="T461" s="37" t="str">
        <f t="shared" si="3"/>
        <v/>
      </c>
      <c r="U461" s="38" t="str">
        <f t="shared" si="4"/>
        <v/>
      </c>
      <c r="V461" s="31" t="str">
        <f t="shared" si="5"/>
        <v/>
      </c>
      <c r="W461" s="39" t="str">
        <f>IFERROR(__xludf.DUMMYFUNCTION(" IF(Account!$F461&lt;&gt;"""", SPLIT(Account!$F461, "" ""), """")"),"")</f>
        <v/>
      </c>
      <c r="X461" s="40"/>
      <c r="Y461" s="40"/>
      <c r="Z461" s="40"/>
      <c r="AA461" s="40"/>
      <c r="AB461" s="40"/>
      <c r="AC461" s="40"/>
      <c r="AD461" s="40"/>
      <c r="AE461" s="40"/>
      <c r="AF461" s="40"/>
      <c r="AG461" s="40"/>
      <c r="AH461" s="40"/>
      <c r="AI461" s="40"/>
      <c r="AJ461" s="40"/>
      <c r="AK461" s="40"/>
    </row>
    <row r="462">
      <c r="A462" s="10"/>
      <c r="B462" s="10"/>
      <c r="C462" s="10"/>
      <c r="D462" s="10"/>
      <c r="E462" s="10"/>
      <c r="F462" s="12"/>
      <c r="G462" s="300"/>
      <c r="H462" s="10"/>
      <c r="I462" s="10"/>
      <c r="J462" s="10"/>
      <c r="K462" s="10"/>
      <c r="L462" s="12"/>
      <c r="M462" s="29" t="str">
        <f t="shared" si="1"/>
        <v/>
      </c>
      <c r="N462" s="31" t="str">
        <f>IFERROR(__xludf.DUMMYFUNCTION("IF(Account!$F462&lt;&gt;"""", VALUE(REGEXREPLACE($I462, ""\,"", ""."")), """")"),"")</f>
        <v/>
      </c>
      <c r="O462" s="33" t="str">
        <f>IF(Account!$F462&lt;&gt;"", DATEVALUE(MID($A462,4,3) &amp; LEFT($A462,3) &amp; RIGHT($A462,4)) + TIMEVALUE($B462), "")</f>
        <v/>
      </c>
      <c r="P462" s="34" t="str">
        <f>IF(Account!$F462&lt;&gt;"", DATEVALUE(MID($C462,4,3) &amp; LEFT($C462,3) &amp; RIGHT($C462,4)), "")</f>
        <v/>
      </c>
      <c r="Q462" s="35" t="str">
        <f t="array" ref="Q462">IF($R462&lt;&gt;"",IFERROR(INDEX(Investment!$A:$A,MATCH($R462,Investment!$H:$H,0))),)</f>
        <v/>
      </c>
      <c r="R462" s="36" t="str">
        <f t="array" ref="R462">IF(AND($Y462="change",$H462="EUR"),IF(AND($AA462="Crédit",$O462=$O463),$R463,IF(AND($AA462="Débit",$O462=$O461),$R461)),IF(OR(AND(OR($E462&lt;&gt;"",$M462=""),$N462&lt;&gt;0),$A462=""),IFERROR(INDEX(Investment!$H:$H,MATCH($E462,Investment!$F:$F,0))),IFERROR(INDEX($R463:$R1119,MATCH(SUBSTITUTE($I462,"-","",1),$K463:$K1119,0)),INDEX($R463:$R1119,MATCH($K462,$K463:$K1119,0)))))</f>
        <v/>
      </c>
      <c r="S462" s="35" t="str">
        <f t="shared" si="2"/>
        <v/>
      </c>
      <c r="T462" s="37" t="str">
        <f t="shared" si="3"/>
        <v/>
      </c>
      <c r="U462" s="38" t="str">
        <f t="shared" si="4"/>
        <v/>
      </c>
      <c r="V462" s="31" t="str">
        <f t="shared" si="5"/>
        <v/>
      </c>
      <c r="W462" s="39" t="str">
        <f>IFERROR(__xludf.DUMMYFUNCTION(" IF(Account!$F462&lt;&gt;"""", SPLIT(Account!$F462, "" ""), """")"),"")</f>
        <v/>
      </c>
      <c r="X462" s="40"/>
      <c r="Y462" s="40"/>
      <c r="Z462" s="40"/>
      <c r="AA462" s="40"/>
      <c r="AB462" s="40"/>
      <c r="AC462" s="40"/>
      <c r="AD462" s="40"/>
      <c r="AE462" s="40"/>
      <c r="AF462" s="40"/>
      <c r="AG462" s="40"/>
      <c r="AH462" s="40"/>
      <c r="AI462" s="40"/>
      <c r="AJ462" s="40"/>
      <c r="AK462" s="40"/>
    </row>
    <row r="463">
      <c r="A463" s="10"/>
      <c r="B463" s="10"/>
      <c r="C463" s="10"/>
      <c r="D463" s="10"/>
      <c r="E463" s="10"/>
      <c r="F463" s="12"/>
      <c r="G463" s="10"/>
      <c r="H463" s="10"/>
      <c r="I463" s="10"/>
      <c r="J463" s="10"/>
      <c r="K463" s="10"/>
      <c r="L463" s="12"/>
      <c r="M463" s="29" t="str">
        <f t="shared" si="1"/>
        <v/>
      </c>
      <c r="N463" s="31" t="str">
        <f>IFERROR(__xludf.DUMMYFUNCTION("IF(Account!$F463&lt;&gt;"""", VALUE(REGEXREPLACE($I463, ""\,"", ""."")), """")"),"")</f>
        <v/>
      </c>
      <c r="O463" s="33" t="str">
        <f>IF(Account!$F463&lt;&gt;"", DATEVALUE(MID($A463,4,3) &amp; LEFT($A463,3) &amp; RIGHT($A463,4)) + TIMEVALUE($B463), "")</f>
        <v/>
      </c>
      <c r="P463" s="34" t="str">
        <f>IF(Account!$F463&lt;&gt;"", DATEVALUE(MID($C463,4,3) &amp; LEFT($C463,3) &amp; RIGHT($C463,4)), "")</f>
        <v/>
      </c>
      <c r="Q463" s="35" t="str">
        <f t="array" ref="Q463">IF($R463&lt;&gt;"",IFERROR(INDEX(Investment!$A:$A,MATCH($R463,Investment!$H:$H,0))),)</f>
        <v/>
      </c>
      <c r="R463" s="36" t="str">
        <f t="array" ref="R463">IF(AND($Y463="change",$H463="EUR"),IF(AND($AA463="Crédit",$O463=$O464),$R464,IF(AND($AA463="Débit",$O463=$O462),$R462)),IF(OR(AND(OR($E463&lt;&gt;"",$M463=""),$N463&lt;&gt;0),$A463=""),IFERROR(INDEX(Investment!$H:$H,MATCH($E463,Investment!$F:$F,0))),IFERROR(INDEX($R464:$R1119,MATCH(SUBSTITUTE($I463,"-","",1),$K464:$K1119,0)),INDEX($R464:$R1119,MATCH($K463,$K464:$K1119,0)))))</f>
        <v/>
      </c>
      <c r="S463" s="35" t="str">
        <f t="shared" si="2"/>
        <v/>
      </c>
      <c r="T463" s="37" t="str">
        <f t="shared" si="3"/>
        <v/>
      </c>
      <c r="U463" s="38" t="str">
        <f t="shared" si="4"/>
        <v/>
      </c>
      <c r="V463" s="31" t="str">
        <f t="shared" si="5"/>
        <v/>
      </c>
      <c r="W463" s="39" t="str">
        <f>IFERROR(__xludf.DUMMYFUNCTION(" IF(Account!$F463&lt;&gt;"""", SPLIT(Account!$F463, "" ""), """")"),"")</f>
        <v/>
      </c>
      <c r="X463" s="40"/>
      <c r="Y463" s="40"/>
      <c r="Z463" s="40"/>
      <c r="AA463" s="40"/>
      <c r="AB463" s="40"/>
      <c r="AC463" s="40"/>
      <c r="AD463" s="40"/>
      <c r="AE463" s="40"/>
      <c r="AF463" s="40"/>
      <c r="AG463" s="40"/>
      <c r="AH463" s="40"/>
      <c r="AI463" s="40"/>
      <c r="AJ463" s="40"/>
      <c r="AK463" s="40"/>
    </row>
    <row r="464">
      <c r="A464" s="10"/>
      <c r="B464" s="10"/>
      <c r="C464" s="10"/>
      <c r="D464" s="10"/>
      <c r="E464" s="10"/>
      <c r="F464" s="12"/>
      <c r="G464" s="300"/>
      <c r="H464" s="10"/>
      <c r="I464" s="10"/>
      <c r="J464" s="10"/>
      <c r="K464" s="10"/>
      <c r="L464" s="12"/>
      <c r="M464" s="29" t="str">
        <f t="shared" si="1"/>
        <v/>
      </c>
      <c r="N464" s="31" t="str">
        <f>IFERROR(__xludf.DUMMYFUNCTION("IF(Account!$F464&lt;&gt;"""", VALUE(REGEXREPLACE($I464, ""\,"", ""."")), """")"),"")</f>
        <v/>
      </c>
      <c r="O464" s="33" t="str">
        <f>IF(Account!$F464&lt;&gt;"", DATEVALUE(MID($A464,4,3) &amp; LEFT($A464,3) &amp; RIGHT($A464,4)) + TIMEVALUE($B464), "")</f>
        <v/>
      </c>
      <c r="P464" s="34" t="str">
        <f>IF(Account!$F464&lt;&gt;"", DATEVALUE(MID($C464,4,3) &amp; LEFT($C464,3) &amp; RIGHT($C464,4)), "")</f>
        <v/>
      </c>
      <c r="Q464" s="35" t="str">
        <f t="array" ref="Q464">IF($R464&lt;&gt;"",IFERROR(INDEX(Investment!$A:$A,MATCH($R464,Investment!$H:$H,0))),)</f>
        <v/>
      </c>
      <c r="R464" s="36" t="str">
        <f t="array" ref="R464">IF(AND($Y464="change",$H464="EUR"),IF(AND($AA464="Crédit",$O464=$O465),$R465,IF(AND($AA464="Débit",$O464=$O463),$R463)),IF(OR(AND(OR($E464&lt;&gt;"",$M464=""),$N464&lt;&gt;0),$A464=""),IFERROR(INDEX(Investment!$H:$H,MATCH($E464,Investment!$F:$F,0))),IFERROR(INDEX($R465:$R1119,MATCH(SUBSTITUTE($I464,"-","",1),$K465:$K1119,0)),INDEX($R465:$R1119,MATCH($K464,$K465:$K1119,0)))))</f>
        <v/>
      </c>
      <c r="S464" s="35" t="str">
        <f t="shared" si="2"/>
        <v/>
      </c>
      <c r="T464" s="37" t="str">
        <f t="shared" si="3"/>
        <v/>
      </c>
      <c r="U464" s="38" t="str">
        <f t="shared" si="4"/>
        <v/>
      </c>
      <c r="V464" s="31" t="str">
        <f t="shared" si="5"/>
        <v/>
      </c>
      <c r="W464" s="39" t="str">
        <f>IFERROR(__xludf.DUMMYFUNCTION(" IF(Account!$F464&lt;&gt;"""", SPLIT(Account!$F464, "" ""), """")"),"")</f>
        <v/>
      </c>
      <c r="X464" s="40"/>
      <c r="Y464" s="40"/>
      <c r="Z464" s="40"/>
      <c r="AA464" s="40"/>
      <c r="AB464" s="40"/>
      <c r="AC464" s="40"/>
      <c r="AD464" s="40"/>
      <c r="AE464" s="40"/>
      <c r="AF464" s="40"/>
      <c r="AG464" s="40"/>
      <c r="AH464" s="40"/>
      <c r="AI464" s="40"/>
      <c r="AJ464" s="40"/>
      <c r="AK464" s="40"/>
    </row>
    <row r="465">
      <c r="A465" s="10"/>
      <c r="B465" s="10"/>
      <c r="C465" s="10"/>
      <c r="D465" s="10"/>
      <c r="E465" s="10"/>
      <c r="F465" s="12"/>
      <c r="G465" s="10"/>
      <c r="H465" s="10"/>
      <c r="I465" s="10"/>
      <c r="J465" s="10"/>
      <c r="K465" s="10"/>
      <c r="L465" s="12"/>
      <c r="M465" s="29" t="str">
        <f t="shared" si="1"/>
        <v/>
      </c>
      <c r="N465" s="31" t="str">
        <f>IFERROR(__xludf.DUMMYFUNCTION("IF(Account!$F465&lt;&gt;"""", VALUE(REGEXREPLACE($I465, ""\,"", ""."")), """")"),"")</f>
        <v/>
      </c>
      <c r="O465" s="33" t="str">
        <f>IF(Account!$F465&lt;&gt;"", DATEVALUE(MID($A465,4,3) &amp; LEFT($A465,3) &amp; RIGHT($A465,4)) + TIMEVALUE($B465), "")</f>
        <v/>
      </c>
      <c r="P465" s="34" t="str">
        <f>IF(Account!$F465&lt;&gt;"", DATEVALUE(MID($C465,4,3) &amp; LEFT($C465,3) &amp; RIGHT($C465,4)), "")</f>
        <v/>
      </c>
      <c r="Q465" s="35" t="str">
        <f t="array" ref="Q465">IF($R465&lt;&gt;"",IFERROR(INDEX(Investment!$A:$A,MATCH($R465,Investment!$H:$H,0))),)</f>
        <v/>
      </c>
      <c r="R465" s="36" t="str">
        <f t="array" ref="R465">IF(AND($Y465="change",$H465="EUR"),IF(AND($AA465="Crédit",$O465=$O466),$R466,IF(AND($AA465="Débit",$O465=$O464),$R464)),IF(OR(AND(OR($E465&lt;&gt;"",$M465=""),$N465&lt;&gt;0),$A465=""),IFERROR(INDEX(Investment!$H:$H,MATCH($E465,Investment!$F:$F,0))),IFERROR(INDEX($R466:$R1119,MATCH(SUBSTITUTE($I465,"-","",1),$K466:$K1119,0)),INDEX($R466:$R1119,MATCH($K465,$K466:$K1119,0)))))</f>
        <v/>
      </c>
      <c r="S465" s="35" t="str">
        <f t="shared" si="2"/>
        <v/>
      </c>
      <c r="T465" s="37" t="str">
        <f t="shared" si="3"/>
        <v/>
      </c>
      <c r="U465" s="38" t="str">
        <f t="shared" si="4"/>
        <v/>
      </c>
      <c r="V465" s="31" t="str">
        <f t="shared" si="5"/>
        <v/>
      </c>
      <c r="W465" s="39" t="str">
        <f>IFERROR(__xludf.DUMMYFUNCTION(" IF(Account!$F465&lt;&gt;"""", SPLIT(Account!$F465, "" ""), """")"),"")</f>
        <v/>
      </c>
      <c r="X465" s="40"/>
      <c r="Y465" s="40"/>
      <c r="Z465" s="40"/>
      <c r="AA465" s="40"/>
      <c r="AB465" s="40"/>
      <c r="AC465" s="40"/>
      <c r="AD465" s="40"/>
      <c r="AE465" s="40"/>
      <c r="AF465" s="40"/>
      <c r="AG465" s="40"/>
      <c r="AH465" s="40"/>
      <c r="AI465" s="40"/>
      <c r="AJ465" s="40"/>
      <c r="AK465" s="40"/>
    </row>
    <row r="466">
      <c r="A466" s="10"/>
      <c r="B466" s="10"/>
      <c r="C466" s="10"/>
      <c r="D466" s="10"/>
      <c r="E466" s="10"/>
      <c r="F466" s="12"/>
      <c r="G466" s="300"/>
      <c r="H466" s="10"/>
      <c r="I466" s="10"/>
      <c r="J466" s="10"/>
      <c r="K466" s="10"/>
      <c r="L466" s="12"/>
      <c r="M466" s="29" t="str">
        <f t="shared" si="1"/>
        <v/>
      </c>
      <c r="N466" s="31" t="str">
        <f>IFERROR(__xludf.DUMMYFUNCTION("IF(Account!$F466&lt;&gt;"""", VALUE(REGEXREPLACE($I466, ""\,"", ""."")), """")"),"")</f>
        <v/>
      </c>
      <c r="O466" s="33" t="str">
        <f>IF(Account!$F466&lt;&gt;"", DATEVALUE(MID($A466,4,3) &amp; LEFT($A466,3) &amp; RIGHT($A466,4)) + TIMEVALUE($B466), "")</f>
        <v/>
      </c>
      <c r="P466" s="34" t="str">
        <f>IF(Account!$F466&lt;&gt;"", DATEVALUE(MID($C466,4,3) &amp; LEFT($C466,3) &amp; RIGHT($C466,4)), "")</f>
        <v/>
      </c>
      <c r="Q466" s="35" t="str">
        <f t="array" ref="Q466">IF($R466&lt;&gt;"",IFERROR(INDEX(Investment!$A:$A,MATCH($R466,Investment!$H:$H,0))),)</f>
        <v/>
      </c>
      <c r="R466" s="36" t="str">
        <f t="array" ref="R466">IF(AND($Y466="change",$H466="EUR"),IF(AND($AA466="Crédit",$O466=$O467),$R467,IF(AND($AA466="Débit",$O466=$O465),$R465)),IF(OR(AND(OR($E466&lt;&gt;"",$M466=""),$N466&lt;&gt;0),$A466=""),IFERROR(INDEX(Investment!$H:$H,MATCH($E466,Investment!$F:$F,0))),IFERROR(INDEX($R467:$R1119,MATCH(SUBSTITUTE($I466,"-","",1),$K467:$K1119,0)),INDEX($R467:$R1119,MATCH($K466,$K467:$K1119,0)))))</f>
        <v/>
      </c>
      <c r="S466" s="35" t="str">
        <f t="shared" si="2"/>
        <v/>
      </c>
      <c r="T466" s="37" t="str">
        <f t="shared" si="3"/>
        <v/>
      </c>
      <c r="U466" s="38" t="str">
        <f t="shared" si="4"/>
        <v/>
      </c>
      <c r="V466" s="31" t="str">
        <f t="shared" si="5"/>
        <v/>
      </c>
      <c r="W466" s="39" t="str">
        <f>IFERROR(__xludf.DUMMYFUNCTION(" IF(Account!$F466&lt;&gt;"""", SPLIT(Account!$F466, "" ""), """")"),"")</f>
        <v/>
      </c>
      <c r="X466" s="40"/>
      <c r="Y466" s="40"/>
      <c r="Z466" s="40"/>
      <c r="AA466" s="40"/>
      <c r="AB466" s="40"/>
      <c r="AC466" s="40"/>
      <c r="AD466" s="40"/>
      <c r="AE466" s="40"/>
      <c r="AF466" s="40"/>
      <c r="AG466" s="40"/>
      <c r="AH466" s="40"/>
      <c r="AI466" s="40"/>
      <c r="AJ466" s="40"/>
      <c r="AK466" s="40"/>
    </row>
    <row r="467">
      <c r="A467" s="10"/>
      <c r="B467" s="10"/>
      <c r="C467" s="10"/>
      <c r="D467" s="10"/>
      <c r="E467" s="10"/>
      <c r="F467" s="12"/>
      <c r="G467" s="10"/>
      <c r="H467" s="10"/>
      <c r="I467" s="10"/>
      <c r="J467" s="10"/>
      <c r="K467" s="10"/>
      <c r="L467" s="12"/>
      <c r="M467" s="29" t="str">
        <f t="shared" si="1"/>
        <v/>
      </c>
      <c r="N467" s="31" t="str">
        <f>IFERROR(__xludf.DUMMYFUNCTION("IF(Account!$F467&lt;&gt;"""", VALUE(REGEXREPLACE($I467, ""\,"", ""."")), """")"),"")</f>
        <v/>
      </c>
      <c r="O467" s="33" t="str">
        <f>IF(Account!$F467&lt;&gt;"", DATEVALUE(MID($A467,4,3) &amp; LEFT($A467,3) &amp; RIGHT($A467,4)) + TIMEVALUE($B467), "")</f>
        <v/>
      </c>
      <c r="P467" s="34" t="str">
        <f>IF(Account!$F467&lt;&gt;"", DATEVALUE(MID($C467,4,3) &amp; LEFT($C467,3) &amp; RIGHT($C467,4)), "")</f>
        <v/>
      </c>
      <c r="Q467" s="35" t="str">
        <f t="array" ref="Q467">IF($R467&lt;&gt;"",IFERROR(INDEX(Investment!$A:$A,MATCH($R467,Investment!$H:$H,0))),)</f>
        <v/>
      </c>
      <c r="R467" s="36" t="str">
        <f t="array" ref="R467">IF(AND($Y467="change",$H467="EUR"),IF(AND($AA467="Crédit",$O467=$O468),$R468,IF(AND($AA467="Débit",$O467=$O466),$R466)),IF(OR(AND(OR($E467&lt;&gt;"",$M467=""),$N467&lt;&gt;0),$A467=""),IFERROR(INDEX(Investment!$H:$H,MATCH($E467,Investment!$F:$F,0))),IFERROR(INDEX($R468:$R1119,MATCH(SUBSTITUTE($I467,"-","",1),$K468:$K1119,0)),INDEX($R468:$R1119,MATCH($K467,$K468:$K1119,0)))))</f>
        <v/>
      </c>
      <c r="S467" s="35" t="str">
        <f t="shared" si="2"/>
        <v/>
      </c>
      <c r="T467" s="37" t="str">
        <f t="shared" si="3"/>
        <v/>
      </c>
      <c r="U467" s="38" t="str">
        <f t="shared" si="4"/>
        <v/>
      </c>
      <c r="V467" s="31" t="str">
        <f t="shared" si="5"/>
        <v/>
      </c>
      <c r="W467" s="39" t="str">
        <f>IFERROR(__xludf.DUMMYFUNCTION(" IF(Account!$F467&lt;&gt;"""", SPLIT(Account!$F467, "" ""), """")"),"")</f>
        <v/>
      </c>
      <c r="X467" s="40"/>
      <c r="Y467" s="40"/>
      <c r="Z467" s="40"/>
      <c r="AA467" s="40"/>
      <c r="AB467" s="40"/>
      <c r="AC467" s="40"/>
      <c r="AD467" s="40"/>
      <c r="AE467" s="40"/>
      <c r="AF467" s="40"/>
      <c r="AG467" s="40"/>
      <c r="AH467" s="40"/>
      <c r="AI467" s="40"/>
      <c r="AJ467" s="40"/>
      <c r="AK467" s="40"/>
    </row>
    <row r="468">
      <c r="A468" s="10"/>
      <c r="B468" s="10"/>
      <c r="C468" s="10"/>
      <c r="D468" s="10"/>
      <c r="E468" s="10"/>
      <c r="F468" s="12"/>
      <c r="G468" s="300"/>
      <c r="H468" s="10"/>
      <c r="I468" s="10"/>
      <c r="J468" s="10"/>
      <c r="K468" s="10"/>
      <c r="L468" s="12"/>
      <c r="M468" s="29" t="str">
        <f t="shared" si="1"/>
        <v/>
      </c>
      <c r="N468" s="31" t="str">
        <f>IFERROR(__xludf.DUMMYFUNCTION("IF(Account!$F468&lt;&gt;"""", VALUE(REGEXREPLACE($I468, ""\,"", ""."")), """")"),"")</f>
        <v/>
      </c>
      <c r="O468" s="33" t="str">
        <f>IF(Account!$F468&lt;&gt;"", DATEVALUE(MID($A468,4,3) &amp; LEFT($A468,3) &amp; RIGHT($A468,4)) + TIMEVALUE($B468), "")</f>
        <v/>
      </c>
      <c r="P468" s="34" t="str">
        <f>IF(Account!$F468&lt;&gt;"", DATEVALUE(MID($C468,4,3) &amp; LEFT($C468,3) &amp; RIGHT($C468,4)), "")</f>
        <v/>
      </c>
      <c r="Q468" s="35" t="str">
        <f t="array" ref="Q468">IF($R468&lt;&gt;"",IFERROR(INDEX(Investment!$A:$A,MATCH($R468,Investment!$H:$H,0))),)</f>
        <v/>
      </c>
      <c r="R468" s="36" t="str">
        <f t="array" ref="R468">IF(AND($Y468="change",$H468="EUR"),IF(AND($AA468="Crédit",$O468=$O469),$R469,IF(AND($AA468="Débit",$O468=$O467),$R467)),IF(OR(AND(OR($E468&lt;&gt;"",$M468=""),$N468&lt;&gt;0),$A468=""),IFERROR(INDEX(Investment!$H:$H,MATCH($E468,Investment!$F:$F,0))),IFERROR(INDEX($R469:$R1119,MATCH(SUBSTITUTE($I468,"-","",1),$K469:$K1119,0)),INDEX($R469:$R1119,MATCH($K468,$K469:$K1119,0)))))</f>
        <v/>
      </c>
      <c r="S468" s="35" t="str">
        <f t="shared" si="2"/>
        <v/>
      </c>
      <c r="T468" s="37" t="str">
        <f t="shared" si="3"/>
        <v/>
      </c>
      <c r="U468" s="38" t="str">
        <f t="shared" si="4"/>
        <v/>
      </c>
      <c r="V468" s="31" t="str">
        <f t="shared" si="5"/>
        <v/>
      </c>
      <c r="W468" s="39" t="str">
        <f>IFERROR(__xludf.DUMMYFUNCTION(" IF(Account!$F468&lt;&gt;"""", SPLIT(Account!$F468, "" ""), """")"),"")</f>
        <v/>
      </c>
      <c r="X468" s="40"/>
      <c r="Y468" s="40"/>
      <c r="Z468" s="40"/>
      <c r="AA468" s="40"/>
      <c r="AB468" s="40"/>
      <c r="AC468" s="40"/>
      <c r="AD468" s="40"/>
      <c r="AE468" s="40"/>
      <c r="AF468" s="40"/>
      <c r="AG468" s="40"/>
      <c r="AH468" s="40"/>
      <c r="AI468" s="40"/>
      <c r="AJ468" s="40"/>
      <c r="AK468" s="40"/>
    </row>
    <row r="469">
      <c r="A469" s="10"/>
      <c r="B469" s="10"/>
      <c r="C469" s="10"/>
      <c r="D469" s="10"/>
      <c r="E469" s="10"/>
      <c r="F469" s="12"/>
      <c r="G469" s="300"/>
      <c r="H469" s="10"/>
      <c r="I469" s="10"/>
      <c r="J469" s="10"/>
      <c r="K469" s="10"/>
      <c r="L469" s="12"/>
      <c r="M469" s="29" t="str">
        <f t="shared" si="1"/>
        <v/>
      </c>
      <c r="N469" s="31" t="str">
        <f>IFERROR(__xludf.DUMMYFUNCTION("IF(Account!$F469&lt;&gt;"""", VALUE(REGEXREPLACE($I469, ""\,"", ""."")), """")"),"")</f>
        <v/>
      </c>
      <c r="O469" s="33" t="str">
        <f>IF(Account!$F469&lt;&gt;"", DATEVALUE(MID($A469,4,3) &amp; LEFT($A469,3) &amp; RIGHT($A469,4)) + TIMEVALUE($B469), "")</f>
        <v/>
      </c>
      <c r="P469" s="34" t="str">
        <f>IF(Account!$F469&lt;&gt;"", DATEVALUE(MID($C469,4,3) &amp; LEFT($C469,3) &amp; RIGHT($C469,4)), "")</f>
        <v/>
      </c>
      <c r="Q469" s="35" t="str">
        <f t="array" ref="Q469">IF($R469&lt;&gt;"",IFERROR(INDEX(Investment!$A:$A,MATCH($R469,Investment!$H:$H,0))),)</f>
        <v/>
      </c>
      <c r="R469" s="36" t="str">
        <f t="array" ref="R469">IF(AND($Y469="change",$H469="EUR"),IF(AND($AA469="Crédit",$O469=$O470),$R470,IF(AND($AA469="Débit",$O469=$O468),$R468)),IF(OR(AND(OR($E469&lt;&gt;"",$M469=""),$N469&lt;&gt;0),$A469=""),IFERROR(INDEX(Investment!$H:$H,MATCH($E469,Investment!$F:$F,0))),IFERROR(INDEX($R470:$R1119,MATCH(SUBSTITUTE($I469,"-","",1),$K470:$K1119,0)),INDEX($R470:$R1119,MATCH($K469,$K470:$K1119,0)))))</f>
        <v/>
      </c>
      <c r="S469" s="35" t="str">
        <f t="shared" si="2"/>
        <v/>
      </c>
      <c r="T469" s="37" t="str">
        <f t="shared" si="3"/>
        <v/>
      </c>
      <c r="U469" s="38" t="str">
        <f t="shared" si="4"/>
        <v/>
      </c>
      <c r="V469" s="31" t="str">
        <f t="shared" si="5"/>
        <v/>
      </c>
      <c r="W469" s="39" t="str">
        <f>IFERROR(__xludf.DUMMYFUNCTION(" IF(Account!$F469&lt;&gt;"""", SPLIT(Account!$F469, "" ""), """")"),"")</f>
        <v/>
      </c>
      <c r="X469" s="40"/>
      <c r="Y469" s="40"/>
      <c r="Z469" s="40"/>
      <c r="AA469" s="40"/>
      <c r="AB469" s="40"/>
      <c r="AC469" s="40"/>
      <c r="AD469" s="40"/>
      <c r="AE469" s="40"/>
      <c r="AF469" s="40"/>
      <c r="AG469" s="40"/>
      <c r="AH469" s="40"/>
      <c r="AI469" s="40"/>
      <c r="AJ469" s="40"/>
      <c r="AK469" s="40"/>
    </row>
    <row r="470">
      <c r="A470" s="10"/>
      <c r="B470" s="10"/>
      <c r="C470" s="10"/>
      <c r="D470" s="10"/>
      <c r="E470" s="10"/>
      <c r="F470" s="12"/>
      <c r="G470" s="300"/>
      <c r="H470" s="10"/>
      <c r="I470" s="10"/>
      <c r="J470" s="10"/>
      <c r="K470" s="10"/>
      <c r="L470" s="12"/>
      <c r="M470" s="29" t="str">
        <f t="shared" si="1"/>
        <v/>
      </c>
      <c r="N470" s="31" t="str">
        <f>IFERROR(__xludf.DUMMYFUNCTION("IF(Account!$F470&lt;&gt;"""", VALUE(REGEXREPLACE($I470, ""\,"", ""."")), """")"),"")</f>
        <v/>
      </c>
      <c r="O470" s="33" t="str">
        <f>IF(Account!$F470&lt;&gt;"", DATEVALUE(MID($A470,4,3) &amp; LEFT($A470,3) &amp; RIGHT($A470,4)) + TIMEVALUE($B470), "")</f>
        <v/>
      </c>
      <c r="P470" s="34" t="str">
        <f>IF(Account!$F470&lt;&gt;"", DATEVALUE(MID($C470,4,3) &amp; LEFT($C470,3) &amp; RIGHT($C470,4)), "")</f>
        <v/>
      </c>
      <c r="Q470" s="35" t="str">
        <f t="array" ref="Q470">IF($R470&lt;&gt;"",IFERROR(INDEX(Investment!$A:$A,MATCH($R470,Investment!$H:$H,0))),)</f>
        <v/>
      </c>
      <c r="R470" s="36" t="str">
        <f t="array" ref="R470">IF(AND($Y470="change",$H470="EUR"),IF(AND($AA470="Crédit",$O470=$O471),$R471,IF(AND($AA470="Débit",$O470=$O469),$R469)),IF(OR(AND(OR($E470&lt;&gt;"",$M470=""),$N470&lt;&gt;0),$A470=""),IFERROR(INDEX(Investment!$H:$H,MATCH($E470,Investment!$F:$F,0))),IFERROR(INDEX($R471:$R1119,MATCH(SUBSTITUTE($I470,"-","",1),$K471:$K1119,0)),INDEX($R471:$R1119,MATCH($K470,$K471:$K1119,0)))))</f>
        <v/>
      </c>
      <c r="S470" s="35" t="str">
        <f t="shared" si="2"/>
        <v/>
      </c>
      <c r="T470" s="37" t="str">
        <f t="shared" si="3"/>
        <v/>
      </c>
      <c r="U470" s="38" t="str">
        <f t="shared" si="4"/>
        <v/>
      </c>
      <c r="V470" s="31" t="str">
        <f t="shared" si="5"/>
        <v/>
      </c>
      <c r="W470" s="39" t="str">
        <f>IFERROR(__xludf.DUMMYFUNCTION(" IF(Account!$F470&lt;&gt;"""", SPLIT(Account!$F470, "" ""), """")"),"")</f>
        <v/>
      </c>
      <c r="X470" s="40"/>
      <c r="Y470" s="40"/>
      <c r="Z470" s="40"/>
      <c r="AA470" s="40"/>
      <c r="AB470" s="40"/>
      <c r="AC470" s="40"/>
      <c r="AD470" s="40"/>
      <c r="AE470" s="40"/>
      <c r="AF470" s="40"/>
      <c r="AG470" s="40"/>
      <c r="AH470" s="40"/>
      <c r="AI470" s="40"/>
      <c r="AJ470" s="40"/>
      <c r="AK470" s="40"/>
    </row>
    <row r="471">
      <c r="A471" s="10"/>
      <c r="B471" s="10"/>
      <c r="C471" s="10"/>
      <c r="D471" s="10"/>
      <c r="E471" s="10"/>
      <c r="F471" s="12"/>
      <c r="G471" s="300"/>
      <c r="H471" s="10"/>
      <c r="I471" s="10"/>
      <c r="J471" s="10"/>
      <c r="K471" s="10"/>
      <c r="L471" s="12"/>
      <c r="M471" s="29" t="str">
        <f t="shared" si="1"/>
        <v/>
      </c>
      <c r="N471" s="31" t="str">
        <f>IFERROR(__xludf.DUMMYFUNCTION("IF(Account!$F471&lt;&gt;"""", VALUE(REGEXREPLACE($I471, ""\,"", ""."")), """")"),"")</f>
        <v/>
      </c>
      <c r="O471" s="33" t="str">
        <f>IF(Account!$F471&lt;&gt;"", DATEVALUE(MID($A471,4,3) &amp; LEFT($A471,3) &amp; RIGHT($A471,4)) + TIMEVALUE($B471), "")</f>
        <v/>
      </c>
      <c r="P471" s="34" t="str">
        <f>IF(Account!$F471&lt;&gt;"", DATEVALUE(MID($C471,4,3) &amp; LEFT($C471,3) &amp; RIGHT($C471,4)), "")</f>
        <v/>
      </c>
      <c r="Q471" s="35" t="str">
        <f t="array" ref="Q471">IF($R471&lt;&gt;"",IFERROR(INDEX(Investment!$A:$A,MATCH($R471,Investment!$H:$H,0))),)</f>
        <v/>
      </c>
      <c r="R471" s="36" t="str">
        <f t="array" ref="R471">IF(AND($Y471="change",$H471="EUR"),IF(AND($AA471="Crédit",$O471=$O472),$R472,IF(AND($AA471="Débit",$O471=$O470),$R470)),IF(OR(AND(OR($E471&lt;&gt;"",$M471=""),$N471&lt;&gt;0),$A471=""),IFERROR(INDEX(Investment!$H:$H,MATCH($E471,Investment!$F:$F,0))),IFERROR(INDEX($R472:$R1119,MATCH(SUBSTITUTE($I471,"-","",1),$K472:$K1119,0)),INDEX($R472:$R1119,MATCH($K471,$K472:$K1119,0)))))</f>
        <v/>
      </c>
      <c r="S471" s="35" t="str">
        <f t="shared" si="2"/>
        <v/>
      </c>
      <c r="T471" s="37" t="str">
        <f t="shared" si="3"/>
        <v/>
      </c>
      <c r="U471" s="38" t="str">
        <f t="shared" si="4"/>
        <v/>
      </c>
      <c r="V471" s="31" t="str">
        <f t="shared" si="5"/>
        <v/>
      </c>
      <c r="W471" s="39" t="str">
        <f>IFERROR(__xludf.DUMMYFUNCTION(" IF(Account!$F471&lt;&gt;"""", SPLIT(Account!$F471, "" ""), """")"),"")</f>
        <v/>
      </c>
      <c r="X471" s="40"/>
      <c r="Y471" s="40"/>
      <c r="Z471" s="40"/>
      <c r="AA471" s="40"/>
      <c r="AB471" s="40"/>
      <c r="AC471" s="40"/>
      <c r="AD471" s="40"/>
      <c r="AE471" s="40"/>
      <c r="AF471" s="40"/>
      <c r="AG471" s="40"/>
      <c r="AH471" s="40"/>
      <c r="AI471" s="40"/>
      <c r="AJ471" s="40"/>
      <c r="AK471" s="40"/>
    </row>
    <row r="472">
      <c r="A472" s="10"/>
      <c r="B472" s="10"/>
      <c r="C472" s="10"/>
      <c r="D472" s="10"/>
      <c r="E472" s="10"/>
      <c r="F472" s="12"/>
      <c r="G472" s="10"/>
      <c r="H472" s="10"/>
      <c r="I472" s="10"/>
      <c r="J472" s="10"/>
      <c r="K472" s="10"/>
      <c r="L472" s="12"/>
      <c r="M472" s="29" t="str">
        <f t="shared" si="1"/>
        <v/>
      </c>
      <c r="N472" s="31" t="str">
        <f>IFERROR(__xludf.DUMMYFUNCTION("IF(Account!$F472&lt;&gt;"""", VALUE(REGEXREPLACE($I472, ""\,"", ""."")), """")"),"")</f>
        <v/>
      </c>
      <c r="O472" s="33" t="str">
        <f>IF(Account!$F472&lt;&gt;"", DATEVALUE(MID($A472,4,3) &amp; LEFT($A472,3) &amp; RIGHT($A472,4)) + TIMEVALUE($B472), "")</f>
        <v/>
      </c>
      <c r="P472" s="34" t="str">
        <f>IF(Account!$F472&lt;&gt;"", DATEVALUE(MID($C472,4,3) &amp; LEFT($C472,3) &amp; RIGHT($C472,4)), "")</f>
        <v/>
      </c>
      <c r="Q472" s="35" t="str">
        <f t="array" ref="Q472">IF($R472&lt;&gt;"",IFERROR(INDEX(Investment!$A:$A,MATCH($R472,Investment!$H:$H,0))),)</f>
        <v/>
      </c>
      <c r="R472" s="36" t="str">
        <f t="array" ref="R472">IF(AND($Y472="change",$H472="EUR"),IF(AND($AA472="Crédit",$O472=$O473),$R473,IF(AND($AA472="Débit",$O472=$O471),$R471)),IF(OR(AND(OR($E472&lt;&gt;"",$M472=""),$N472&lt;&gt;0),$A472=""),IFERROR(INDEX(Investment!$H:$H,MATCH($E472,Investment!$F:$F,0))),IFERROR(INDEX($R473:$R1119,MATCH(SUBSTITUTE($I472,"-","",1),$K473:$K1119,0)),INDEX($R473:$R1119,MATCH($K472,$K473:$K1119,0)))))</f>
        <v/>
      </c>
      <c r="S472" s="35" t="str">
        <f t="shared" si="2"/>
        <v/>
      </c>
      <c r="T472" s="37" t="str">
        <f t="shared" si="3"/>
        <v/>
      </c>
      <c r="U472" s="38" t="str">
        <f t="shared" si="4"/>
        <v/>
      </c>
      <c r="V472" s="31" t="str">
        <f t="shared" si="5"/>
        <v/>
      </c>
      <c r="W472" s="39" t="str">
        <f>IFERROR(__xludf.DUMMYFUNCTION(" IF(Account!$F472&lt;&gt;"""", SPLIT(Account!$F472, "" ""), """")"),"")</f>
        <v/>
      </c>
      <c r="X472" s="40"/>
      <c r="Y472" s="40"/>
      <c r="Z472" s="40"/>
      <c r="AA472" s="40"/>
      <c r="AB472" s="40"/>
      <c r="AC472" s="40"/>
      <c r="AD472" s="40"/>
      <c r="AE472" s="40"/>
      <c r="AF472" s="40"/>
      <c r="AG472" s="40"/>
      <c r="AH472" s="40"/>
      <c r="AI472" s="40"/>
      <c r="AJ472" s="40"/>
      <c r="AK472" s="40"/>
    </row>
    <row r="473">
      <c r="A473" s="10"/>
      <c r="B473" s="10"/>
      <c r="C473" s="10"/>
      <c r="D473" s="10"/>
      <c r="E473" s="10"/>
      <c r="F473" s="12"/>
      <c r="G473" s="300"/>
      <c r="H473" s="10"/>
      <c r="I473" s="10"/>
      <c r="J473" s="10"/>
      <c r="K473" s="10"/>
      <c r="L473" s="12"/>
      <c r="M473" s="29" t="str">
        <f t="shared" si="1"/>
        <v/>
      </c>
      <c r="N473" s="31" t="str">
        <f>IFERROR(__xludf.DUMMYFUNCTION("IF(Account!$F473&lt;&gt;"""", VALUE(REGEXREPLACE($I473, ""\,"", ""."")), """")"),"")</f>
        <v/>
      </c>
      <c r="O473" s="33" t="str">
        <f>IF(Account!$F473&lt;&gt;"", DATEVALUE(MID($A473,4,3) &amp; LEFT($A473,3) &amp; RIGHT($A473,4)) + TIMEVALUE($B473), "")</f>
        <v/>
      </c>
      <c r="P473" s="34" t="str">
        <f>IF(Account!$F473&lt;&gt;"", DATEVALUE(MID($C473,4,3) &amp; LEFT($C473,3) &amp; RIGHT($C473,4)), "")</f>
        <v/>
      </c>
      <c r="Q473" s="35" t="str">
        <f t="array" ref="Q473">IF($R473&lt;&gt;"",IFERROR(INDEX(Investment!$A:$A,MATCH($R473,Investment!$H:$H,0))),)</f>
        <v/>
      </c>
      <c r="R473" s="36" t="str">
        <f t="array" ref="R473">IF(AND($Y473="change",$H473="EUR"),IF(AND($AA473="Crédit",$O473=$O474),$R474,IF(AND($AA473="Débit",$O473=$O472),$R472)),IF(OR(AND(OR($E473&lt;&gt;"",$M473=""),$N473&lt;&gt;0),$A473=""),IFERROR(INDEX(Investment!$H:$H,MATCH($E473,Investment!$F:$F,0))),IFERROR(INDEX($R474:$R1119,MATCH(SUBSTITUTE($I473,"-","",1),$K474:$K1119,0)),INDEX($R474:$R1119,MATCH($K473,$K474:$K1119,0)))))</f>
        <v/>
      </c>
      <c r="S473" s="35" t="str">
        <f t="shared" si="2"/>
        <v/>
      </c>
      <c r="T473" s="37" t="str">
        <f t="shared" si="3"/>
        <v/>
      </c>
      <c r="U473" s="38" t="str">
        <f t="shared" si="4"/>
        <v/>
      </c>
      <c r="V473" s="31" t="str">
        <f t="shared" si="5"/>
        <v/>
      </c>
      <c r="W473" s="39" t="str">
        <f>IFERROR(__xludf.DUMMYFUNCTION(" IF(Account!$F473&lt;&gt;"""", SPLIT(Account!$F473, "" ""), """")"),"")</f>
        <v/>
      </c>
      <c r="X473" s="40"/>
      <c r="Y473" s="40"/>
      <c r="Z473" s="40"/>
      <c r="AA473" s="40"/>
      <c r="AB473" s="40"/>
      <c r="AC473" s="40"/>
      <c r="AD473" s="40"/>
      <c r="AE473" s="40"/>
      <c r="AF473" s="40"/>
      <c r="AG473" s="40"/>
      <c r="AH473" s="40"/>
      <c r="AI473" s="40"/>
      <c r="AJ473" s="40"/>
      <c r="AK473" s="40"/>
    </row>
    <row r="474">
      <c r="A474" s="10"/>
      <c r="B474" s="10"/>
      <c r="C474" s="10"/>
      <c r="D474" s="10"/>
      <c r="E474" s="10"/>
      <c r="F474" s="12"/>
      <c r="G474" s="300"/>
      <c r="H474" s="10"/>
      <c r="I474" s="10"/>
      <c r="J474" s="10"/>
      <c r="K474" s="10"/>
      <c r="L474" s="12"/>
      <c r="M474" s="29" t="str">
        <f t="shared" si="1"/>
        <v/>
      </c>
      <c r="N474" s="31" t="str">
        <f>IFERROR(__xludf.DUMMYFUNCTION("IF(Account!$F474&lt;&gt;"""", VALUE(REGEXREPLACE($I474, ""\,"", ""."")), """")"),"")</f>
        <v/>
      </c>
      <c r="O474" s="33" t="str">
        <f>IF(Account!$F474&lt;&gt;"", DATEVALUE(MID($A474,4,3) &amp; LEFT($A474,3) &amp; RIGHT($A474,4)) + TIMEVALUE($B474), "")</f>
        <v/>
      </c>
      <c r="P474" s="34" t="str">
        <f>IF(Account!$F474&lt;&gt;"", DATEVALUE(MID($C474,4,3) &amp; LEFT($C474,3) &amp; RIGHT($C474,4)), "")</f>
        <v/>
      </c>
      <c r="Q474" s="35" t="str">
        <f t="array" ref="Q474">IF($R474&lt;&gt;"",IFERROR(INDEX(Investment!$A:$A,MATCH($R474,Investment!$H:$H,0))),)</f>
        <v/>
      </c>
      <c r="R474" s="36" t="str">
        <f t="array" ref="R474">IF(AND($Y474="change",$H474="EUR"),IF(AND($AA474="Crédit",$O474=$O475),$R475,IF(AND($AA474="Débit",$O474=$O473),$R473)),IF(OR(AND(OR($E474&lt;&gt;"",$M474=""),$N474&lt;&gt;0),$A474=""),IFERROR(INDEX(Investment!$H:$H,MATCH($E474,Investment!$F:$F,0))),IFERROR(INDEX($R475:$R1119,MATCH(SUBSTITUTE($I474,"-","",1),$K475:$K1119,0)),INDEX($R475:$R1119,MATCH($K474,$K475:$K1119,0)))))</f>
        <v/>
      </c>
      <c r="S474" s="35" t="str">
        <f t="shared" si="2"/>
        <v/>
      </c>
      <c r="T474" s="37" t="str">
        <f t="shared" si="3"/>
        <v/>
      </c>
      <c r="U474" s="38" t="str">
        <f t="shared" si="4"/>
        <v/>
      </c>
      <c r="V474" s="31" t="str">
        <f t="shared" si="5"/>
        <v/>
      </c>
      <c r="W474" s="39" t="str">
        <f>IFERROR(__xludf.DUMMYFUNCTION(" IF(Account!$F474&lt;&gt;"""", SPLIT(Account!$F474, "" ""), """")"),"")</f>
        <v/>
      </c>
      <c r="X474" s="40"/>
      <c r="Y474" s="40"/>
      <c r="Z474" s="40"/>
      <c r="AA474" s="40"/>
      <c r="AB474" s="40"/>
      <c r="AC474" s="40"/>
      <c r="AD474" s="40"/>
      <c r="AE474" s="40"/>
      <c r="AF474" s="40"/>
      <c r="AG474" s="40"/>
      <c r="AH474" s="40"/>
      <c r="AI474" s="40"/>
      <c r="AJ474" s="40"/>
      <c r="AK474" s="40"/>
    </row>
    <row r="475">
      <c r="A475" s="10"/>
      <c r="B475" s="10"/>
      <c r="C475" s="10"/>
      <c r="D475" s="10"/>
      <c r="E475" s="10"/>
      <c r="F475" s="12"/>
      <c r="G475" s="10"/>
      <c r="H475" s="10"/>
      <c r="I475" s="10"/>
      <c r="J475" s="10"/>
      <c r="K475" s="10"/>
      <c r="L475" s="12"/>
      <c r="M475" s="29" t="str">
        <f t="shared" si="1"/>
        <v/>
      </c>
      <c r="N475" s="31" t="str">
        <f>IFERROR(__xludf.DUMMYFUNCTION("IF(Account!$F475&lt;&gt;"""", VALUE(REGEXREPLACE($I475, ""\,"", ""."")), """")"),"")</f>
        <v/>
      </c>
      <c r="O475" s="33" t="str">
        <f>IF(Account!$F475&lt;&gt;"", DATEVALUE(MID($A475,4,3) &amp; LEFT($A475,3) &amp; RIGHT($A475,4)) + TIMEVALUE($B475), "")</f>
        <v/>
      </c>
      <c r="P475" s="34" t="str">
        <f>IF(Account!$F475&lt;&gt;"", DATEVALUE(MID($C475,4,3) &amp; LEFT($C475,3) &amp; RIGHT($C475,4)), "")</f>
        <v/>
      </c>
      <c r="Q475" s="35" t="str">
        <f t="array" ref="Q475">IF($R475&lt;&gt;"",IFERROR(INDEX(Investment!$A:$A,MATCH($R475,Investment!$H:$H,0))),)</f>
        <v/>
      </c>
      <c r="R475" s="36" t="str">
        <f t="array" ref="R475">IF(AND($Y475="change",$H475="EUR"),IF(AND($AA475="Crédit",$O475=$O476),$R476,IF(AND($AA475="Débit",$O475=$O474),$R474)),IF(OR(AND(OR($E475&lt;&gt;"",$M475=""),$N475&lt;&gt;0),$A475=""),IFERROR(INDEX(Investment!$H:$H,MATCH($E475,Investment!$F:$F,0))),IFERROR(INDEX($R476:$R1119,MATCH(SUBSTITUTE($I475,"-","",1),$K476:$K1119,0)),INDEX($R476:$R1119,MATCH($K475,$K476:$K1119,0)))))</f>
        <v/>
      </c>
      <c r="S475" s="35" t="str">
        <f t="shared" si="2"/>
        <v/>
      </c>
      <c r="T475" s="37" t="str">
        <f t="shared" si="3"/>
        <v/>
      </c>
      <c r="U475" s="38" t="str">
        <f t="shared" si="4"/>
        <v/>
      </c>
      <c r="V475" s="31" t="str">
        <f t="shared" si="5"/>
        <v/>
      </c>
      <c r="W475" s="39" t="str">
        <f>IFERROR(__xludf.DUMMYFUNCTION(" IF(Account!$F475&lt;&gt;"""", SPLIT(Account!$F475, "" ""), """")"),"")</f>
        <v/>
      </c>
      <c r="X475" s="40"/>
      <c r="Y475" s="40"/>
      <c r="Z475" s="40"/>
      <c r="AA475" s="40"/>
      <c r="AB475" s="40"/>
      <c r="AC475" s="40"/>
      <c r="AD475" s="40"/>
      <c r="AE475" s="40"/>
      <c r="AF475" s="40"/>
      <c r="AG475" s="40"/>
      <c r="AH475" s="40"/>
      <c r="AI475" s="40"/>
      <c r="AJ475" s="40"/>
      <c r="AK475" s="40"/>
    </row>
    <row r="476">
      <c r="A476" s="10"/>
      <c r="B476" s="10"/>
      <c r="C476" s="10"/>
      <c r="D476" s="10"/>
      <c r="E476" s="10"/>
      <c r="F476" s="12"/>
      <c r="G476" s="300"/>
      <c r="H476" s="10"/>
      <c r="I476" s="10"/>
      <c r="J476" s="10"/>
      <c r="K476" s="10"/>
      <c r="L476" s="12"/>
      <c r="M476" s="29" t="str">
        <f t="shared" si="1"/>
        <v/>
      </c>
      <c r="N476" s="31" t="str">
        <f>IFERROR(__xludf.DUMMYFUNCTION("IF(Account!$F476&lt;&gt;"""", VALUE(REGEXREPLACE($I476, ""\,"", ""."")), """")"),"")</f>
        <v/>
      </c>
      <c r="O476" s="33" t="str">
        <f>IF(Account!$F476&lt;&gt;"", DATEVALUE(MID($A476,4,3) &amp; LEFT($A476,3) &amp; RIGHT($A476,4)) + TIMEVALUE($B476), "")</f>
        <v/>
      </c>
      <c r="P476" s="34" t="str">
        <f>IF(Account!$F476&lt;&gt;"", DATEVALUE(MID($C476,4,3) &amp; LEFT($C476,3) &amp; RIGHT($C476,4)), "")</f>
        <v/>
      </c>
      <c r="Q476" s="35" t="str">
        <f t="array" ref="Q476">IF($R476&lt;&gt;"",IFERROR(INDEX(Investment!$A:$A,MATCH($R476,Investment!$H:$H,0))),)</f>
        <v/>
      </c>
      <c r="R476" s="36" t="str">
        <f t="array" ref="R476">IF(AND($Y476="change",$H476="EUR"),IF(AND($AA476="Crédit",$O476=$O477),$R477,IF(AND($AA476="Débit",$O476=$O475),$R475)),IF(OR(AND(OR($E476&lt;&gt;"",$M476=""),$N476&lt;&gt;0),$A476=""),IFERROR(INDEX(Investment!$H:$H,MATCH($E476,Investment!$F:$F,0))),IFERROR(INDEX($R477:$R1119,MATCH(SUBSTITUTE($I476,"-","",1),$K477:$K1119,0)),INDEX($R477:$R1119,MATCH($K476,$K477:$K1119,0)))))</f>
        <v/>
      </c>
      <c r="S476" s="35" t="str">
        <f t="shared" si="2"/>
        <v/>
      </c>
      <c r="T476" s="37" t="str">
        <f t="shared" si="3"/>
        <v/>
      </c>
      <c r="U476" s="38" t="str">
        <f t="shared" si="4"/>
        <v/>
      </c>
      <c r="V476" s="31" t="str">
        <f t="shared" si="5"/>
        <v/>
      </c>
      <c r="W476" s="39" t="str">
        <f>IFERROR(__xludf.DUMMYFUNCTION(" IF(Account!$F476&lt;&gt;"""", SPLIT(Account!$F476, "" ""), """")"),"")</f>
        <v/>
      </c>
      <c r="X476" s="40"/>
      <c r="Y476" s="40"/>
      <c r="Z476" s="40"/>
      <c r="AA476" s="40"/>
      <c r="AB476" s="40"/>
      <c r="AC476" s="40"/>
      <c r="AD476" s="40"/>
      <c r="AE476" s="40"/>
      <c r="AF476" s="40"/>
      <c r="AG476" s="40"/>
      <c r="AH476" s="40"/>
      <c r="AI476" s="40"/>
      <c r="AJ476" s="40"/>
      <c r="AK476" s="40"/>
    </row>
    <row r="477">
      <c r="A477" s="10"/>
      <c r="B477" s="10"/>
      <c r="C477" s="10"/>
      <c r="D477" s="10"/>
      <c r="E477" s="10"/>
      <c r="F477" s="12"/>
      <c r="G477" s="300"/>
      <c r="H477" s="10"/>
      <c r="I477" s="10"/>
      <c r="J477" s="10"/>
      <c r="K477" s="10"/>
      <c r="L477" s="12"/>
      <c r="M477" s="29" t="str">
        <f t="shared" si="1"/>
        <v/>
      </c>
      <c r="N477" s="31" t="str">
        <f>IFERROR(__xludf.DUMMYFUNCTION("IF(Account!$F477&lt;&gt;"""", VALUE(REGEXREPLACE($I477, ""\,"", ""."")), """")"),"")</f>
        <v/>
      </c>
      <c r="O477" s="33" t="str">
        <f>IF(Account!$F477&lt;&gt;"", DATEVALUE(MID($A477,4,3) &amp; LEFT($A477,3) &amp; RIGHT($A477,4)) + TIMEVALUE($B477), "")</f>
        <v/>
      </c>
      <c r="P477" s="34" t="str">
        <f>IF(Account!$F477&lt;&gt;"", DATEVALUE(MID($C477,4,3) &amp; LEFT($C477,3) &amp; RIGHT($C477,4)), "")</f>
        <v/>
      </c>
      <c r="Q477" s="35" t="str">
        <f t="array" ref="Q477">IF($R477&lt;&gt;"",IFERROR(INDEX(Investment!$A:$A,MATCH($R477,Investment!$H:$H,0))),)</f>
        <v/>
      </c>
      <c r="R477" s="36" t="str">
        <f t="array" ref="R477">IF(AND($Y477="change",$H477="EUR"),IF(AND($AA477="Crédit",$O477=$O478),$R478,IF(AND($AA477="Débit",$O477=$O476),$R476)),IF(OR(AND(OR($E477&lt;&gt;"",$M477=""),$N477&lt;&gt;0),$A477=""),IFERROR(INDEX(Investment!$H:$H,MATCH($E477,Investment!$F:$F,0))),IFERROR(INDEX($R478:$R1119,MATCH(SUBSTITUTE($I477,"-","",1),$K478:$K1119,0)),INDEX($R478:$R1119,MATCH($K477,$K478:$K1119,0)))))</f>
        <v/>
      </c>
      <c r="S477" s="35" t="str">
        <f t="shared" si="2"/>
        <v/>
      </c>
      <c r="T477" s="37" t="str">
        <f t="shared" si="3"/>
        <v/>
      </c>
      <c r="U477" s="38" t="str">
        <f t="shared" si="4"/>
        <v/>
      </c>
      <c r="V477" s="31" t="str">
        <f t="shared" si="5"/>
        <v/>
      </c>
      <c r="W477" s="39" t="str">
        <f>IFERROR(__xludf.DUMMYFUNCTION(" IF(Account!$F477&lt;&gt;"""", SPLIT(Account!$F477, "" ""), """")"),"")</f>
        <v/>
      </c>
      <c r="X477" s="40"/>
      <c r="Y477" s="40"/>
      <c r="Z477" s="40"/>
      <c r="AA477" s="40"/>
      <c r="AB477" s="40"/>
      <c r="AC477" s="40"/>
      <c r="AD477" s="40"/>
      <c r="AE477" s="40"/>
      <c r="AF477" s="40"/>
      <c r="AG477" s="40"/>
      <c r="AH477" s="40"/>
      <c r="AI477" s="40"/>
      <c r="AJ477" s="40"/>
      <c r="AK477" s="40"/>
    </row>
    <row r="478">
      <c r="A478" s="10"/>
      <c r="B478" s="10"/>
      <c r="C478" s="10"/>
      <c r="D478" s="10"/>
      <c r="E478" s="10"/>
      <c r="F478" s="12"/>
      <c r="G478" s="300"/>
      <c r="H478" s="10"/>
      <c r="I478" s="10"/>
      <c r="J478" s="10"/>
      <c r="K478" s="10"/>
      <c r="L478" s="12"/>
      <c r="M478" s="29" t="str">
        <f t="shared" si="1"/>
        <v/>
      </c>
      <c r="N478" s="31" t="str">
        <f>IFERROR(__xludf.DUMMYFUNCTION("IF(Account!$F478&lt;&gt;"""", VALUE(REGEXREPLACE($I478, ""\,"", ""."")), """")"),"")</f>
        <v/>
      </c>
      <c r="O478" s="33" t="str">
        <f>IF(Account!$F478&lt;&gt;"", DATEVALUE(MID($A478,4,3) &amp; LEFT($A478,3) &amp; RIGHT($A478,4)) + TIMEVALUE($B478), "")</f>
        <v/>
      </c>
      <c r="P478" s="34" t="str">
        <f>IF(Account!$F478&lt;&gt;"", DATEVALUE(MID($C478,4,3) &amp; LEFT($C478,3) &amp; RIGHT($C478,4)), "")</f>
        <v/>
      </c>
      <c r="Q478" s="35" t="str">
        <f t="array" ref="Q478">IF($R478&lt;&gt;"",IFERROR(INDEX(Investment!$A:$A,MATCH($R478,Investment!$H:$H,0))),)</f>
        <v/>
      </c>
      <c r="R478" s="36" t="str">
        <f t="array" ref="R478">IF(AND($Y478="change",$H478="EUR"),IF(AND($AA478="Crédit",$O478=$O479),$R479,IF(AND($AA478="Débit",$O478=$O477),$R477)),IF(OR(AND(OR($E478&lt;&gt;"",$M478=""),$N478&lt;&gt;0),$A478=""),IFERROR(INDEX(Investment!$H:$H,MATCH($E478,Investment!$F:$F,0))),IFERROR(INDEX($R479:$R1119,MATCH(SUBSTITUTE($I478,"-","",1),$K479:$K1119,0)),INDEX($R479:$R1119,MATCH($K478,$K479:$K1119,0)))))</f>
        <v/>
      </c>
      <c r="S478" s="35" t="str">
        <f t="shared" si="2"/>
        <v/>
      </c>
      <c r="T478" s="37" t="str">
        <f t="shared" si="3"/>
        <v/>
      </c>
      <c r="U478" s="38" t="str">
        <f t="shared" si="4"/>
        <v/>
      </c>
      <c r="V478" s="31" t="str">
        <f t="shared" si="5"/>
        <v/>
      </c>
      <c r="W478" s="39" t="str">
        <f>IFERROR(__xludf.DUMMYFUNCTION(" IF(Account!$F478&lt;&gt;"""", SPLIT(Account!$F478, "" ""), """")"),"")</f>
        <v/>
      </c>
      <c r="X478" s="40"/>
      <c r="Y478" s="40"/>
      <c r="Z478" s="40"/>
      <c r="AA478" s="40"/>
      <c r="AB478" s="40"/>
      <c r="AC478" s="40"/>
      <c r="AD478" s="40"/>
      <c r="AE478" s="40"/>
      <c r="AF478" s="40"/>
      <c r="AG478" s="40"/>
      <c r="AH478" s="40"/>
      <c r="AI478" s="40"/>
      <c r="AJ478" s="40"/>
      <c r="AK478" s="40"/>
    </row>
    <row r="479">
      <c r="A479" s="10"/>
      <c r="B479" s="10"/>
      <c r="C479" s="10"/>
      <c r="D479" s="10"/>
      <c r="E479" s="10"/>
      <c r="F479" s="12"/>
      <c r="G479" s="300"/>
      <c r="H479" s="300"/>
      <c r="I479" s="300"/>
      <c r="J479" s="10"/>
      <c r="K479" s="10"/>
      <c r="L479" s="12"/>
      <c r="M479" s="29" t="str">
        <f t="shared" si="1"/>
        <v/>
      </c>
      <c r="N479" s="31" t="str">
        <f>IFERROR(__xludf.DUMMYFUNCTION("IF(Account!$F479&lt;&gt;"""", VALUE(REGEXREPLACE($I479, ""\,"", ""."")), """")"),"")</f>
        <v/>
      </c>
      <c r="O479" s="33" t="str">
        <f>IF(Account!$F479&lt;&gt;"", DATEVALUE(MID($A479,4,3) &amp; LEFT($A479,3) &amp; RIGHT($A479,4)) + TIMEVALUE($B479), "")</f>
        <v/>
      </c>
      <c r="P479" s="34" t="str">
        <f>IF(Account!$F479&lt;&gt;"", DATEVALUE(MID($C479,4,3) &amp; LEFT($C479,3) &amp; RIGHT($C479,4)), "")</f>
        <v/>
      </c>
      <c r="Q479" s="35" t="str">
        <f t="array" ref="Q479">IF($R479&lt;&gt;"",IFERROR(INDEX(Investment!$A:$A,MATCH($R479,Investment!$H:$H,0))),)</f>
        <v/>
      </c>
      <c r="R479" s="36" t="str">
        <f t="array" ref="R479">IF(AND($Y479="change",$H479="EUR"),IF(AND($AA479="Crédit",$O479=$O480),$R480,IF(AND($AA479="Débit",$O479=$O478),$R478)),IF(OR(AND(OR($E479&lt;&gt;"",$M479=""),$N479&lt;&gt;0),$A479=""),IFERROR(INDEX(Investment!$H:$H,MATCH($E479,Investment!$F:$F,0))),IFERROR(INDEX($R480:$R1119,MATCH(SUBSTITUTE($I479,"-","",1),$K480:$K1119,0)),INDEX($R480:$R1119,MATCH($K479,$K480:$K1119,0)))))</f>
        <v/>
      </c>
      <c r="S479" s="35" t="str">
        <f t="shared" si="2"/>
        <v/>
      </c>
      <c r="T479" s="37" t="str">
        <f t="shared" si="3"/>
        <v/>
      </c>
      <c r="U479" s="38" t="str">
        <f t="shared" si="4"/>
        <v/>
      </c>
      <c r="V479" s="31" t="str">
        <f t="shared" si="5"/>
        <v/>
      </c>
      <c r="W479" s="39" t="str">
        <f>IFERROR(__xludf.DUMMYFUNCTION(" IF(Account!$F479&lt;&gt;"""", SPLIT(Account!$F479, "" ""), """")"),"")</f>
        <v/>
      </c>
      <c r="X479" s="40"/>
      <c r="Y479" s="40"/>
      <c r="Z479" s="40"/>
      <c r="AA479" s="40"/>
      <c r="AB479" s="40"/>
      <c r="AC479" s="40"/>
      <c r="AD479" s="40"/>
      <c r="AE479" s="40"/>
      <c r="AF479" s="40"/>
      <c r="AG479" s="40"/>
      <c r="AH479" s="40"/>
      <c r="AI479" s="40"/>
      <c r="AJ479" s="40"/>
      <c r="AK479" s="40"/>
    </row>
    <row r="480">
      <c r="A480" s="10"/>
      <c r="B480" s="10"/>
      <c r="C480" s="10"/>
      <c r="D480" s="300"/>
      <c r="E480" s="300"/>
      <c r="F480" s="12"/>
      <c r="G480" s="10"/>
      <c r="H480" s="10"/>
      <c r="I480" s="10"/>
      <c r="J480" s="10"/>
      <c r="K480" s="10"/>
      <c r="L480" s="12"/>
      <c r="M480" s="29" t="str">
        <f t="shared" si="1"/>
        <v/>
      </c>
      <c r="N480" s="31" t="str">
        <f>IFERROR(__xludf.DUMMYFUNCTION("IF(Account!$F480&lt;&gt;"""", VALUE(REGEXREPLACE($I480, ""\,"", ""."")), """")"),"")</f>
        <v/>
      </c>
      <c r="O480" s="33" t="str">
        <f>IF(Account!$F480&lt;&gt;"", DATEVALUE(MID($A480,4,3) &amp; LEFT($A480,3) &amp; RIGHT($A480,4)) + TIMEVALUE($B480), "")</f>
        <v/>
      </c>
      <c r="P480" s="34" t="str">
        <f>IF(Account!$F480&lt;&gt;"", DATEVALUE(MID($C480,4,3) &amp; LEFT($C480,3) &amp; RIGHT($C480,4)), "")</f>
        <v/>
      </c>
      <c r="Q480" s="35" t="str">
        <f t="array" ref="Q480">IF($R480&lt;&gt;"",IFERROR(INDEX(Investment!$A:$A,MATCH($R480,Investment!$H:$H,0))),)</f>
        <v/>
      </c>
      <c r="R480" s="36" t="str">
        <f t="array" ref="R480">IF(AND($Y480="change",$H480="EUR"),IF(AND($AA480="Crédit",$O480=$O481),$R481,IF(AND($AA480="Débit",$O480=$O479),$R479)),IF(OR(AND(OR($E480&lt;&gt;"",$M480=""),$N480&lt;&gt;0),$A480=""),IFERROR(INDEX(Investment!$H:$H,MATCH($E480,Investment!$F:$F,0))),IFERROR(INDEX($R481:$R1119,MATCH(SUBSTITUTE($I480,"-","",1),$K481:$K1119,0)),INDEX($R481:$R1119,MATCH($K480,$K481:$K1119,0)))))</f>
        <v/>
      </c>
      <c r="S480" s="35" t="str">
        <f t="shared" si="2"/>
        <v/>
      </c>
      <c r="T480" s="37" t="str">
        <f t="shared" si="3"/>
        <v/>
      </c>
      <c r="U480" s="38" t="str">
        <f t="shared" si="4"/>
        <v/>
      </c>
      <c r="V480" s="31" t="str">
        <f t="shared" si="5"/>
        <v/>
      </c>
      <c r="W480" s="39" t="str">
        <f>IFERROR(__xludf.DUMMYFUNCTION(" IF(Account!$F480&lt;&gt;"""", SPLIT(Account!$F480, "" ""), """")"),"")</f>
        <v/>
      </c>
      <c r="X480" s="40"/>
      <c r="Y480" s="40"/>
      <c r="Z480" s="40"/>
      <c r="AA480" s="40"/>
      <c r="AB480" s="40"/>
      <c r="AC480" s="40"/>
      <c r="AD480" s="40"/>
      <c r="AE480" s="40"/>
      <c r="AF480" s="40"/>
      <c r="AG480" s="40"/>
      <c r="AH480" s="40"/>
      <c r="AI480" s="40"/>
      <c r="AJ480" s="40"/>
      <c r="AK480" s="40"/>
    </row>
    <row r="481">
      <c r="A481" s="10"/>
      <c r="B481" s="10"/>
      <c r="C481" s="10"/>
      <c r="D481" s="300"/>
      <c r="E481" s="300"/>
      <c r="F481" s="12"/>
      <c r="G481" s="300"/>
      <c r="H481" s="10"/>
      <c r="I481" s="10"/>
      <c r="J481" s="10"/>
      <c r="K481" s="10"/>
      <c r="L481" s="12"/>
      <c r="M481" s="29" t="str">
        <f t="shared" si="1"/>
        <v/>
      </c>
      <c r="N481" s="31" t="str">
        <f>IFERROR(__xludf.DUMMYFUNCTION("IF(Account!$F481&lt;&gt;"""", VALUE(REGEXREPLACE($I481, ""\,"", ""."")), """")"),"")</f>
        <v/>
      </c>
      <c r="O481" s="33" t="str">
        <f>IF(Account!$F481&lt;&gt;"", DATEVALUE(MID($A481,4,3) &amp; LEFT($A481,3) &amp; RIGHT($A481,4)) + TIMEVALUE($B481), "")</f>
        <v/>
      </c>
      <c r="P481" s="34" t="str">
        <f>IF(Account!$F481&lt;&gt;"", DATEVALUE(MID($C481,4,3) &amp; LEFT($C481,3) &amp; RIGHT($C481,4)), "")</f>
        <v/>
      </c>
      <c r="Q481" s="35" t="str">
        <f t="array" ref="Q481">IF($R481&lt;&gt;"",IFERROR(INDEX(Investment!$A:$A,MATCH($R481,Investment!$H:$H,0))),)</f>
        <v/>
      </c>
      <c r="R481" s="36" t="str">
        <f t="array" ref="R481">IF(AND($Y481="change",$H481="EUR"),IF(AND($AA481="Crédit",$O481=$O482),$R482,IF(AND($AA481="Débit",$O481=$O480),$R480)),IF(OR(AND(OR($E481&lt;&gt;"",$M481=""),$N481&lt;&gt;0),$A481=""),IFERROR(INDEX(Investment!$H:$H,MATCH($E481,Investment!$F:$F,0))),IFERROR(INDEX($R482:$R1119,MATCH(SUBSTITUTE($I481,"-","",1),$K482:$K1119,0)),INDEX($R482:$R1119,MATCH($K481,$K482:$K1119,0)))))</f>
        <v/>
      </c>
      <c r="S481" s="35" t="str">
        <f t="shared" si="2"/>
        <v/>
      </c>
      <c r="T481" s="37" t="str">
        <f t="shared" si="3"/>
        <v/>
      </c>
      <c r="U481" s="38" t="str">
        <f t="shared" si="4"/>
        <v/>
      </c>
      <c r="V481" s="31" t="str">
        <f t="shared" si="5"/>
        <v/>
      </c>
      <c r="W481" s="39" t="str">
        <f>IFERROR(__xludf.DUMMYFUNCTION(" IF(Account!$F481&lt;&gt;"""", SPLIT(Account!$F481, "" ""), """")"),"")</f>
        <v/>
      </c>
      <c r="X481" s="40"/>
      <c r="Y481" s="40"/>
      <c r="Z481" s="40"/>
      <c r="AA481" s="40"/>
      <c r="AB481" s="40"/>
      <c r="AC481" s="40"/>
      <c r="AD481" s="40"/>
      <c r="AE481" s="40"/>
      <c r="AF481" s="40"/>
      <c r="AG481" s="40"/>
      <c r="AH481" s="40"/>
      <c r="AI481" s="40"/>
      <c r="AJ481" s="40"/>
      <c r="AK481" s="40"/>
    </row>
    <row r="482">
      <c r="A482" s="10"/>
      <c r="B482" s="10"/>
      <c r="C482" s="10"/>
      <c r="D482" s="10"/>
      <c r="E482" s="10"/>
      <c r="F482" s="12"/>
      <c r="G482" s="300"/>
      <c r="H482" s="300"/>
      <c r="I482" s="300"/>
      <c r="J482" s="10"/>
      <c r="K482" s="10"/>
      <c r="L482" s="12"/>
      <c r="M482" s="29" t="str">
        <f t="shared" si="1"/>
        <v/>
      </c>
      <c r="N482" s="31" t="str">
        <f>IFERROR(__xludf.DUMMYFUNCTION("IF(Account!$F482&lt;&gt;"""", VALUE(REGEXREPLACE($I482, ""\,"", ""."")), """")"),"")</f>
        <v/>
      </c>
      <c r="O482" s="33" t="str">
        <f>IF(Account!$F482&lt;&gt;"", DATEVALUE(MID($A482,4,3) &amp; LEFT($A482,3) &amp; RIGHT($A482,4)) + TIMEVALUE($B482), "")</f>
        <v/>
      </c>
      <c r="P482" s="34" t="str">
        <f>IF(Account!$F482&lt;&gt;"", DATEVALUE(MID($C482,4,3) &amp; LEFT($C482,3) &amp; RIGHT($C482,4)), "")</f>
        <v/>
      </c>
      <c r="Q482" s="35" t="str">
        <f t="array" ref="Q482">IF($R482&lt;&gt;"",IFERROR(INDEX(Investment!$A:$A,MATCH($R482,Investment!$H:$H,0))),)</f>
        <v/>
      </c>
      <c r="R482" s="36" t="str">
        <f t="array" ref="R482">IF(AND($Y482="change",$H482="EUR"),IF(AND($AA482="Crédit",$O482=$O483),$R483,IF(AND($AA482="Débit",$O482=$O481),$R481)),IF(OR(AND(OR($E482&lt;&gt;"",$M482=""),$N482&lt;&gt;0),$A482=""),IFERROR(INDEX(Investment!$H:$H,MATCH($E482,Investment!$F:$F,0))),IFERROR(INDEX($R483:$R1119,MATCH(SUBSTITUTE($I482,"-","",1),$K483:$K1119,0)),INDEX($R483:$R1119,MATCH($K482,$K483:$K1119,0)))))</f>
        <v/>
      </c>
      <c r="S482" s="35" t="str">
        <f t="shared" si="2"/>
        <v/>
      </c>
      <c r="T482" s="37" t="str">
        <f t="shared" si="3"/>
        <v/>
      </c>
      <c r="U482" s="38" t="str">
        <f t="shared" si="4"/>
        <v/>
      </c>
      <c r="V482" s="31" t="str">
        <f t="shared" si="5"/>
        <v/>
      </c>
      <c r="W482" s="39" t="str">
        <f>IFERROR(__xludf.DUMMYFUNCTION(" IF(Account!$F482&lt;&gt;"""", SPLIT(Account!$F482, "" ""), """")"),"")</f>
        <v/>
      </c>
      <c r="X482" s="40"/>
      <c r="Y482" s="40"/>
      <c r="Z482" s="40"/>
      <c r="AA482" s="40"/>
      <c r="AB482" s="40"/>
      <c r="AC482" s="40"/>
      <c r="AD482" s="40"/>
      <c r="AE482" s="40"/>
      <c r="AF482" s="40"/>
      <c r="AG482" s="40"/>
      <c r="AH482" s="40"/>
      <c r="AI482" s="40"/>
      <c r="AJ482" s="40"/>
      <c r="AK482" s="40"/>
    </row>
    <row r="483">
      <c r="A483" s="10"/>
      <c r="B483" s="10"/>
      <c r="C483" s="10"/>
      <c r="D483" s="10"/>
      <c r="E483" s="10"/>
      <c r="F483" s="12"/>
      <c r="G483" s="300"/>
      <c r="H483" s="10"/>
      <c r="I483" s="10"/>
      <c r="J483" s="10"/>
      <c r="K483" s="10"/>
      <c r="L483" s="12"/>
      <c r="M483" s="29" t="str">
        <f t="shared" si="1"/>
        <v/>
      </c>
      <c r="N483" s="31" t="str">
        <f>IFERROR(__xludf.DUMMYFUNCTION("IF(Account!$F483&lt;&gt;"""", VALUE(REGEXREPLACE($I483, ""\,"", ""."")), """")"),"")</f>
        <v/>
      </c>
      <c r="O483" s="33" t="str">
        <f>IF(Account!$F483&lt;&gt;"", DATEVALUE(MID($A483,4,3) &amp; LEFT($A483,3) &amp; RIGHT($A483,4)) + TIMEVALUE($B483), "")</f>
        <v/>
      </c>
      <c r="P483" s="34" t="str">
        <f>IF(Account!$F483&lt;&gt;"", DATEVALUE(MID($C483,4,3) &amp; LEFT($C483,3) &amp; RIGHT($C483,4)), "")</f>
        <v/>
      </c>
      <c r="Q483" s="35" t="str">
        <f t="array" ref="Q483">IF($R483&lt;&gt;"",IFERROR(INDEX(Investment!$A:$A,MATCH($R483,Investment!$H:$H,0))),)</f>
        <v/>
      </c>
      <c r="R483" s="36" t="str">
        <f t="array" ref="R483">IF(AND($Y483="change",$H483="EUR"),IF(AND($AA483="Crédit",$O483=$O484),$R484,IF(AND($AA483="Débit",$O483=$O482),$R482)),IF(OR(AND(OR($E483&lt;&gt;"",$M483=""),$N483&lt;&gt;0),$A483=""),IFERROR(INDEX(Investment!$H:$H,MATCH($E483,Investment!$F:$F,0))),IFERROR(INDEX($R484:$R1119,MATCH(SUBSTITUTE($I483,"-","",1),$K484:$K1119,0)),INDEX($R484:$R1119,MATCH($K483,$K484:$K1119,0)))))</f>
        <v/>
      </c>
      <c r="S483" s="35" t="str">
        <f t="shared" si="2"/>
        <v/>
      </c>
      <c r="T483" s="37" t="str">
        <f t="shared" si="3"/>
        <v/>
      </c>
      <c r="U483" s="38" t="str">
        <f t="shared" si="4"/>
        <v/>
      </c>
      <c r="V483" s="31" t="str">
        <f t="shared" si="5"/>
        <v/>
      </c>
      <c r="W483" s="39" t="str">
        <f>IFERROR(__xludf.DUMMYFUNCTION(" IF(Account!$F483&lt;&gt;"""", SPLIT(Account!$F483, "" ""), """")"),"")</f>
        <v/>
      </c>
      <c r="X483" s="40"/>
      <c r="Y483" s="40"/>
      <c r="Z483" s="40"/>
      <c r="AA483" s="40"/>
      <c r="AB483" s="40"/>
      <c r="AC483" s="40"/>
      <c r="AD483" s="40"/>
      <c r="AE483" s="40"/>
      <c r="AF483" s="40"/>
      <c r="AG483" s="40"/>
      <c r="AH483" s="40"/>
      <c r="AI483" s="40"/>
      <c r="AJ483" s="40"/>
      <c r="AK483" s="40"/>
    </row>
    <row r="484">
      <c r="A484" s="10"/>
      <c r="B484" s="10"/>
      <c r="C484" s="10"/>
      <c r="D484" s="10"/>
      <c r="E484" s="10"/>
      <c r="F484" s="12"/>
      <c r="G484" s="300"/>
      <c r="H484" s="10"/>
      <c r="I484" s="10"/>
      <c r="J484" s="10"/>
      <c r="K484" s="10"/>
      <c r="L484" s="12"/>
      <c r="M484" s="29" t="str">
        <f t="shared" si="1"/>
        <v/>
      </c>
      <c r="N484" s="31" t="str">
        <f>IFERROR(__xludf.DUMMYFUNCTION("IF(Account!$F484&lt;&gt;"""", VALUE(REGEXREPLACE($I484, ""\,"", ""."")), """")"),"")</f>
        <v/>
      </c>
      <c r="O484" s="33" t="str">
        <f>IF(Account!$F484&lt;&gt;"", DATEVALUE(MID($A484,4,3) &amp; LEFT($A484,3) &amp; RIGHT($A484,4)) + TIMEVALUE($B484), "")</f>
        <v/>
      </c>
      <c r="P484" s="34" t="str">
        <f>IF(Account!$F484&lt;&gt;"", DATEVALUE(MID($C484,4,3) &amp; LEFT($C484,3) &amp; RIGHT($C484,4)), "")</f>
        <v/>
      </c>
      <c r="Q484" s="35" t="str">
        <f t="array" ref="Q484">IF($R484&lt;&gt;"",IFERROR(INDEX(Investment!$A:$A,MATCH($R484,Investment!$H:$H,0))),)</f>
        <v/>
      </c>
      <c r="R484" s="36" t="str">
        <f t="array" ref="R484">IF(AND($Y484="change",$H484="EUR"),IF(AND($AA484="Crédit",$O484=$O485),$R485,IF(AND($AA484="Débit",$O484=$O483),$R483)),IF(OR(AND(OR($E484&lt;&gt;"",$M484=""),$N484&lt;&gt;0),$A484=""),IFERROR(INDEX(Investment!$H:$H,MATCH($E484,Investment!$F:$F,0))),IFERROR(INDEX($R485:$R1119,MATCH(SUBSTITUTE($I484,"-","",1),$K485:$K1119,0)),INDEX($R485:$R1119,MATCH($K484,$K485:$K1119,0)))))</f>
        <v/>
      </c>
      <c r="S484" s="35" t="str">
        <f t="shared" si="2"/>
        <v/>
      </c>
      <c r="T484" s="37" t="str">
        <f t="shared" si="3"/>
        <v/>
      </c>
      <c r="U484" s="38" t="str">
        <f t="shared" si="4"/>
        <v/>
      </c>
      <c r="V484" s="31" t="str">
        <f t="shared" si="5"/>
        <v/>
      </c>
      <c r="W484" s="39" t="str">
        <f>IFERROR(__xludf.DUMMYFUNCTION(" IF(Account!$F484&lt;&gt;"""", SPLIT(Account!$F484, "" ""), """")"),"")</f>
        <v/>
      </c>
      <c r="X484" s="40"/>
      <c r="Y484" s="40"/>
      <c r="Z484" s="40"/>
      <c r="AA484" s="40"/>
      <c r="AB484" s="40"/>
      <c r="AC484" s="40"/>
      <c r="AD484" s="40"/>
      <c r="AE484" s="40"/>
      <c r="AF484" s="40"/>
      <c r="AG484" s="40"/>
      <c r="AH484" s="40"/>
      <c r="AI484" s="40"/>
      <c r="AJ484" s="40"/>
      <c r="AK484" s="40"/>
    </row>
    <row r="485">
      <c r="A485" s="10"/>
      <c r="B485" s="10"/>
      <c r="C485" s="10"/>
      <c r="D485" s="300"/>
      <c r="E485" s="300"/>
      <c r="F485" s="12"/>
      <c r="G485" s="300"/>
      <c r="H485" s="10"/>
      <c r="I485" s="10"/>
      <c r="J485" s="10"/>
      <c r="K485" s="10"/>
      <c r="L485" s="12"/>
      <c r="M485" s="29" t="str">
        <f t="shared" si="1"/>
        <v/>
      </c>
      <c r="N485" s="31" t="str">
        <f>IFERROR(__xludf.DUMMYFUNCTION("IF(Account!$F485&lt;&gt;"""", VALUE(REGEXREPLACE($I485, ""\,"", ""."")), """")"),"")</f>
        <v/>
      </c>
      <c r="O485" s="33" t="str">
        <f>IF(Account!$F485&lt;&gt;"", DATEVALUE(MID($A485,4,3) &amp; LEFT($A485,3) &amp; RIGHT($A485,4)) + TIMEVALUE($B485), "")</f>
        <v/>
      </c>
      <c r="P485" s="34" t="str">
        <f>IF(Account!$F485&lt;&gt;"", DATEVALUE(MID($C485,4,3) &amp; LEFT($C485,3) &amp; RIGHT($C485,4)), "")</f>
        <v/>
      </c>
      <c r="Q485" s="35" t="str">
        <f t="array" ref="Q485">IF($R485&lt;&gt;"",IFERROR(INDEX(Investment!$A:$A,MATCH($R485,Investment!$H:$H,0))),)</f>
        <v/>
      </c>
      <c r="R485" s="36" t="str">
        <f t="array" ref="R485">IF(AND($Y485="change",$H485="EUR"),IF(AND($AA485="Crédit",$O485=$O486),$R486,IF(AND($AA485="Débit",$O485=$O484),$R484)),IF(OR(AND(OR($E485&lt;&gt;"",$M485=""),$N485&lt;&gt;0),$A485=""),IFERROR(INDEX(Investment!$H:$H,MATCH($E485,Investment!$F:$F,0))),IFERROR(INDEX($R486:$R1119,MATCH(SUBSTITUTE($I485,"-","",1),$K486:$K1119,0)),INDEX($R486:$R1119,MATCH($K485,$K486:$K1119,0)))))</f>
        <v/>
      </c>
      <c r="S485" s="35" t="str">
        <f t="shared" si="2"/>
        <v/>
      </c>
      <c r="T485" s="37" t="str">
        <f t="shared" si="3"/>
        <v/>
      </c>
      <c r="U485" s="38" t="str">
        <f t="shared" si="4"/>
        <v/>
      </c>
      <c r="V485" s="31" t="str">
        <f t="shared" si="5"/>
        <v/>
      </c>
      <c r="W485" s="39" t="str">
        <f>IFERROR(__xludf.DUMMYFUNCTION(" IF(Account!$F485&lt;&gt;"""", SPLIT(Account!$F485, "" ""), """")"),"")</f>
        <v/>
      </c>
      <c r="X485" s="40"/>
      <c r="Y485" s="40"/>
      <c r="Z485" s="40"/>
      <c r="AA485" s="40"/>
      <c r="AB485" s="40"/>
      <c r="AC485" s="40"/>
      <c r="AD485" s="40"/>
      <c r="AE485" s="40"/>
      <c r="AF485" s="40"/>
      <c r="AG485" s="40"/>
      <c r="AH485" s="40"/>
      <c r="AI485" s="40"/>
      <c r="AJ485" s="40"/>
      <c r="AK485" s="40"/>
    </row>
    <row r="486">
      <c r="A486" s="10"/>
      <c r="B486" s="10"/>
      <c r="C486" s="10"/>
      <c r="D486" s="300"/>
      <c r="E486" s="300"/>
      <c r="F486" s="12"/>
      <c r="G486" s="300"/>
      <c r="H486" s="10"/>
      <c r="I486" s="10"/>
      <c r="J486" s="10"/>
      <c r="K486" s="10"/>
      <c r="L486" s="12"/>
      <c r="M486" s="29" t="str">
        <f t="shared" si="1"/>
        <v/>
      </c>
      <c r="N486" s="31" t="str">
        <f>IFERROR(__xludf.DUMMYFUNCTION("IF(Account!$F486&lt;&gt;"""", VALUE(REGEXREPLACE($I486, ""\,"", ""."")), """")"),"")</f>
        <v/>
      </c>
      <c r="O486" s="33" t="str">
        <f>IF(Account!$F486&lt;&gt;"", DATEVALUE(MID($A486,4,3) &amp; LEFT($A486,3) &amp; RIGHT($A486,4)) + TIMEVALUE($B486), "")</f>
        <v/>
      </c>
      <c r="P486" s="34" t="str">
        <f>IF(Account!$F486&lt;&gt;"", DATEVALUE(MID($C486,4,3) &amp; LEFT($C486,3) &amp; RIGHT($C486,4)), "")</f>
        <v/>
      </c>
      <c r="Q486" s="35" t="str">
        <f t="array" ref="Q486">IF($R486&lt;&gt;"",IFERROR(INDEX(Investment!$A:$A,MATCH($R486,Investment!$H:$H,0))),)</f>
        <v/>
      </c>
      <c r="R486" s="36" t="str">
        <f t="array" ref="R486">IF(AND($Y486="change",$H486="EUR"),IF(AND($AA486="Crédit",$O486=$O487),$R487,IF(AND($AA486="Débit",$O486=$O485),$R485)),IF(OR(AND(OR($E486&lt;&gt;"",$M486=""),$N486&lt;&gt;0),$A486=""),IFERROR(INDEX(Investment!$H:$H,MATCH($E486,Investment!$F:$F,0))),IFERROR(INDEX($R487:$R1119,MATCH(SUBSTITUTE($I486,"-","",1),$K487:$K1119,0)),INDEX($R487:$R1119,MATCH($K486,$K487:$K1119,0)))))</f>
        <v/>
      </c>
      <c r="S486" s="35" t="str">
        <f t="shared" si="2"/>
        <v/>
      </c>
      <c r="T486" s="37" t="str">
        <f t="shared" si="3"/>
        <v/>
      </c>
      <c r="U486" s="38" t="str">
        <f t="shared" si="4"/>
        <v/>
      </c>
      <c r="V486" s="31" t="str">
        <f t="shared" si="5"/>
        <v/>
      </c>
      <c r="W486" s="39" t="str">
        <f>IFERROR(__xludf.DUMMYFUNCTION(" IF(Account!$F486&lt;&gt;"""", SPLIT(Account!$F486, "" ""), """")"),"")</f>
        <v/>
      </c>
      <c r="X486" s="40"/>
      <c r="Y486" s="40"/>
      <c r="Z486" s="40"/>
      <c r="AA486" s="40"/>
      <c r="AB486" s="40"/>
      <c r="AC486" s="40"/>
      <c r="AD486" s="40"/>
      <c r="AE486" s="40"/>
      <c r="AF486" s="40"/>
      <c r="AG486" s="40"/>
      <c r="AH486" s="40"/>
      <c r="AI486" s="40"/>
      <c r="AJ486" s="40"/>
      <c r="AK486" s="40"/>
    </row>
    <row r="487">
      <c r="A487" s="10"/>
      <c r="B487" s="10"/>
      <c r="C487" s="10"/>
      <c r="D487" s="300"/>
      <c r="E487" s="300"/>
      <c r="F487" s="12"/>
      <c r="G487" s="300"/>
      <c r="H487" s="10"/>
      <c r="I487" s="10"/>
      <c r="J487" s="10"/>
      <c r="K487" s="10"/>
      <c r="L487" s="12"/>
      <c r="M487" s="29" t="str">
        <f t="shared" si="1"/>
        <v/>
      </c>
      <c r="N487" s="31" t="str">
        <f>IFERROR(__xludf.DUMMYFUNCTION("IF(Account!$F487&lt;&gt;"""", VALUE(REGEXREPLACE($I487, ""\,"", ""."")), """")"),"")</f>
        <v/>
      </c>
      <c r="O487" s="33" t="str">
        <f>IF(Account!$F487&lt;&gt;"", DATEVALUE(MID($A487,4,3) &amp; LEFT($A487,3) &amp; RIGHT($A487,4)) + TIMEVALUE($B487), "")</f>
        <v/>
      </c>
      <c r="P487" s="34" t="str">
        <f>IF(Account!$F487&lt;&gt;"", DATEVALUE(MID($C487,4,3) &amp; LEFT($C487,3) &amp; RIGHT($C487,4)), "")</f>
        <v/>
      </c>
      <c r="Q487" s="35" t="str">
        <f t="array" ref="Q487">IF($R487&lt;&gt;"",IFERROR(INDEX(Investment!$A:$A,MATCH($R487,Investment!$H:$H,0))),)</f>
        <v/>
      </c>
      <c r="R487" s="36" t="str">
        <f t="array" ref="R487">IF(AND($Y487="change",$H487="EUR"),IF(AND($AA487="Crédit",$O487=$O488),$R488,IF(AND($AA487="Débit",$O487=$O486),$R486)),IF(OR(AND(OR($E487&lt;&gt;"",$M487=""),$N487&lt;&gt;0),$A487=""),IFERROR(INDEX(Investment!$H:$H,MATCH($E487,Investment!$F:$F,0))),IFERROR(INDEX($R488:$R1119,MATCH(SUBSTITUTE($I487,"-","",1),$K488:$K1119,0)),INDEX($R488:$R1119,MATCH($K487,$K488:$K1119,0)))))</f>
        <v/>
      </c>
      <c r="S487" s="35" t="str">
        <f t="shared" si="2"/>
        <v/>
      </c>
      <c r="T487" s="37" t="str">
        <f t="shared" si="3"/>
        <v/>
      </c>
      <c r="U487" s="38" t="str">
        <f t="shared" si="4"/>
        <v/>
      </c>
      <c r="V487" s="31" t="str">
        <f t="shared" si="5"/>
        <v/>
      </c>
      <c r="W487" s="39" t="str">
        <f>IFERROR(__xludf.DUMMYFUNCTION(" IF(Account!$F487&lt;&gt;"""", SPLIT(Account!$F487, "" ""), """")"),"")</f>
        <v/>
      </c>
      <c r="X487" s="40"/>
      <c r="Y487" s="40"/>
      <c r="Z487" s="40"/>
      <c r="AA487" s="40"/>
      <c r="AB487" s="40"/>
      <c r="AC487" s="40"/>
      <c r="AD487" s="40"/>
      <c r="AE487" s="40"/>
      <c r="AF487" s="40"/>
      <c r="AG487" s="40"/>
      <c r="AH487" s="40"/>
      <c r="AI487" s="40"/>
      <c r="AJ487" s="40"/>
      <c r="AK487" s="40"/>
    </row>
    <row r="488">
      <c r="A488" s="10"/>
      <c r="B488" s="10"/>
      <c r="C488" s="10"/>
      <c r="D488" s="10"/>
      <c r="E488" s="10"/>
      <c r="F488" s="12"/>
      <c r="G488" s="10"/>
      <c r="H488" s="10"/>
      <c r="I488" s="10"/>
      <c r="J488" s="10"/>
      <c r="K488" s="10"/>
      <c r="L488" s="12"/>
      <c r="M488" s="29" t="str">
        <f t="shared" si="1"/>
        <v/>
      </c>
      <c r="N488" s="31" t="str">
        <f>IFERROR(__xludf.DUMMYFUNCTION("IF(Account!$F488&lt;&gt;"""", VALUE(REGEXREPLACE($I488, ""\,"", ""."")), """")"),"")</f>
        <v/>
      </c>
      <c r="O488" s="33" t="str">
        <f>IF(Account!$F488&lt;&gt;"", DATEVALUE(MID($A488,4,3) &amp; LEFT($A488,3) &amp; RIGHT($A488,4)) + TIMEVALUE($B488), "")</f>
        <v/>
      </c>
      <c r="P488" s="34" t="str">
        <f>IF(Account!$F488&lt;&gt;"", DATEVALUE(MID($C488,4,3) &amp; LEFT($C488,3) &amp; RIGHT($C488,4)), "")</f>
        <v/>
      </c>
      <c r="Q488" s="35" t="str">
        <f t="array" ref="Q488">IF($R488&lt;&gt;"",IFERROR(INDEX(Investment!$A:$A,MATCH($R488,Investment!$H:$H,0))),)</f>
        <v/>
      </c>
      <c r="R488" s="36" t="str">
        <f t="array" ref="R488">IF(AND($Y488="change",$H488="EUR"),IF(AND($AA488="Crédit",$O488=$O489),$R489,IF(AND($AA488="Débit",$O488=$O487),$R487)),IF(OR(AND(OR($E488&lt;&gt;"",$M488=""),$N488&lt;&gt;0),$A488=""),IFERROR(INDEX(Investment!$H:$H,MATCH($E488,Investment!$F:$F,0))),IFERROR(INDEX($R489:$R1119,MATCH(SUBSTITUTE($I488,"-","",1),$K489:$K1119,0)),INDEX($R489:$R1119,MATCH($K488,$K489:$K1119,0)))))</f>
        <v/>
      </c>
      <c r="S488" s="35" t="str">
        <f t="shared" si="2"/>
        <v/>
      </c>
      <c r="T488" s="37" t="str">
        <f t="shared" si="3"/>
        <v/>
      </c>
      <c r="U488" s="38" t="str">
        <f t="shared" si="4"/>
        <v/>
      </c>
      <c r="V488" s="31" t="str">
        <f t="shared" si="5"/>
        <v/>
      </c>
      <c r="W488" s="39" t="str">
        <f>IFERROR(__xludf.DUMMYFUNCTION(" IF(Account!$F488&lt;&gt;"""", SPLIT(Account!$F488, "" ""), """")"),"")</f>
        <v/>
      </c>
      <c r="X488" s="40"/>
      <c r="Y488" s="40"/>
      <c r="Z488" s="40"/>
      <c r="AA488" s="40"/>
      <c r="AB488" s="40"/>
      <c r="AC488" s="40"/>
      <c r="AD488" s="40"/>
      <c r="AE488" s="40"/>
      <c r="AF488" s="40"/>
      <c r="AG488" s="40"/>
      <c r="AH488" s="40"/>
      <c r="AI488" s="40"/>
      <c r="AJ488" s="40"/>
      <c r="AK488" s="40"/>
    </row>
    <row r="489">
      <c r="A489" s="10"/>
      <c r="B489" s="10"/>
      <c r="C489" s="10"/>
      <c r="D489" s="10"/>
      <c r="E489" s="10"/>
      <c r="F489" s="12"/>
      <c r="G489" s="300"/>
      <c r="H489" s="10"/>
      <c r="I489" s="10"/>
      <c r="J489" s="10"/>
      <c r="K489" s="10"/>
      <c r="L489" s="12"/>
      <c r="M489" s="29" t="str">
        <f t="shared" si="1"/>
        <v/>
      </c>
      <c r="N489" s="31" t="str">
        <f>IFERROR(__xludf.DUMMYFUNCTION("IF(Account!$F489&lt;&gt;"""", VALUE(REGEXREPLACE($I489, ""\,"", ""."")), """")"),"")</f>
        <v/>
      </c>
      <c r="O489" s="33" t="str">
        <f>IF(Account!$F489&lt;&gt;"", DATEVALUE(MID($A489,4,3) &amp; LEFT($A489,3) &amp; RIGHT($A489,4)) + TIMEVALUE($B489), "")</f>
        <v/>
      </c>
      <c r="P489" s="34" t="str">
        <f>IF(Account!$F489&lt;&gt;"", DATEVALUE(MID($C489,4,3) &amp; LEFT($C489,3) &amp; RIGHT($C489,4)), "")</f>
        <v/>
      </c>
      <c r="Q489" s="35" t="str">
        <f t="array" ref="Q489">IF($R489&lt;&gt;"",IFERROR(INDEX(Investment!$A:$A,MATCH($R489,Investment!$H:$H,0))),)</f>
        <v/>
      </c>
      <c r="R489" s="36" t="str">
        <f t="array" ref="R489">IF(AND($Y489="change",$H489="EUR"),IF(AND($AA489="Crédit",$O489=$O490),$R490,IF(AND($AA489="Débit",$O489=$O488),$R488)),IF(OR(AND(OR($E489&lt;&gt;"",$M489=""),$N489&lt;&gt;0),$A489=""),IFERROR(INDEX(Investment!$H:$H,MATCH($E489,Investment!$F:$F,0))),IFERROR(INDEX($R490:$R1119,MATCH(SUBSTITUTE($I489,"-","",1),$K490:$K1119,0)),INDEX($R490:$R1119,MATCH($K489,$K490:$K1119,0)))))</f>
        <v/>
      </c>
      <c r="S489" s="35" t="str">
        <f t="shared" si="2"/>
        <v/>
      </c>
      <c r="T489" s="37" t="str">
        <f t="shared" si="3"/>
        <v/>
      </c>
      <c r="U489" s="38" t="str">
        <f t="shared" si="4"/>
        <v/>
      </c>
      <c r="V489" s="31" t="str">
        <f t="shared" si="5"/>
        <v/>
      </c>
      <c r="W489" s="39" t="str">
        <f>IFERROR(__xludf.DUMMYFUNCTION(" IF(Account!$F489&lt;&gt;"""", SPLIT(Account!$F489, "" ""), """")"),"")</f>
        <v/>
      </c>
      <c r="X489" s="40"/>
      <c r="Y489" s="40"/>
      <c r="Z489" s="40"/>
      <c r="AA489" s="40"/>
      <c r="AB489" s="40"/>
      <c r="AC489" s="40"/>
      <c r="AD489" s="40"/>
      <c r="AE489" s="40"/>
      <c r="AF489" s="40"/>
      <c r="AG489" s="40"/>
      <c r="AH489" s="40"/>
      <c r="AI489" s="40"/>
      <c r="AJ489" s="40"/>
      <c r="AK489" s="40"/>
    </row>
    <row r="490">
      <c r="A490" s="10"/>
      <c r="B490" s="10"/>
      <c r="C490" s="10"/>
      <c r="D490" s="10"/>
      <c r="E490" s="10"/>
      <c r="F490" s="12"/>
      <c r="G490" s="10"/>
      <c r="H490" s="10"/>
      <c r="I490" s="10"/>
      <c r="J490" s="10"/>
      <c r="K490" s="10"/>
      <c r="L490" s="12"/>
      <c r="M490" s="29" t="str">
        <f t="shared" si="1"/>
        <v/>
      </c>
      <c r="N490" s="31" t="str">
        <f>IFERROR(__xludf.DUMMYFUNCTION("IF(Account!$F490&lt;&gt;"""", VALUE(REGEXREPLACE($I490, ""\,"", ""."")), """")"),"")</f>
        <v/>
      </c>
      <c r="O490" s="33" t="str">
        <f>IF(Account!$F490&lt;&gt;"", DATEVALUE(MID($A490,4,3) &amp; LEFT($A490,3) &amp; RIGHT($A490,4)) + TIMEVALUE($B490), "")</f>
        <v/>
      </c>
      <c r="P490" s="34" t="str">
        <f>IF(Account!$F490&lt;&gt;"", DATEVALUE(MID($C490,4,3) &amp; LEFT($C490,3) &amp; RIGHT($C490,4)), "")</f>
        <v/>
      </c>
      <c r="Q490" s="35" t="str">
        <f t="array" ref="Q490">IF($R490&lt;&gt;"",IFERROR(INDEX(Investment!$A:$A,MATCH($R490,Investment!$H:$H,0))),)</f>
        <v/>
      </c>
      <c r="R490" s="36" t="str">
        <f t="array" ref="R490">IF(AND($Y490="change",$H490="EUR"),IF(AND($AA490="Crédit",$O490=$O491),$R491,IF(AND($AA490="Débit",$O490=$O489),$R489)),IF(OR(AND(OR($E490&lt;&gt;"",$M490=""),$N490&lt;&gt;0),$A490=""),IFERROR(INDEX(Investment!$H:$H,MATCH($E490,Investment!$F:$F,0))),IFERROR(INDEX($R491:$R1119,MATCH(SUBSTITUTE($I490,"-","",1),$K491:$K1119,0)),INDEX($R491:$R1119,MATCH($K490,$K491:$K1119,0)))))</f>
        <v/>
      </c>
      <c r="S490" s="35" t="str">
        <f t="shared" si="2"/>
        <v/>
      </c>
      <c r="T490" s="37" t="str">
        <f t="shared" si="3"/>
        <v/>
      </c>
      <c r="U490" s="38" t="str">
        <f t="shared" si="4"/>
        <v/>
      </c>
      <c r="V490" s="31" t="str">
        <f t="shared" si="5"/>
        <v/>
      </c>
      <c r="W490" s="39" t="str">
        <f>IFERROR(__xludf.DUMMYFUNCTION(" IF(Account!$F490&lt;&gt;"""", SPLIT(Account!$F490, "" ""), """")"),"")</f>
        <v/>
      </c>
      <c r="X490" s="40"/>
      <c r="Y490" s="40"/>
      <c r="Z490" s="40"/>
      <c r="AA490" s="40"/>
      <c r="AB490" s="40"/>
      <c r="AC490" s="40"/>
      <c r="AD490" s="40"/>
      <c r="AE490" s="40"/>
      <c r="AF490" s="40"/>
      <c r="AG490" s="40"/>
      <c r="AH490" s="40"/>
      <c r="AI490" s="40"/>
      <c r="AJ490" s="40"/>
      <c r="AK490" s="40"/>
    </row>
    <row r="491">
      <c r="A491" s="10"/>
      <c r="B491" s="10"/>
      <c r="C491" s="10"/>
      <c r="D491" s="10"/>
      <c r="E491" s="10"/>
      <c r="F491" s="12"/>
      <c r="G491" s="300"/>
      <c r="H491" s="10"/>
      <c r="I491" s="10"/>
      <c r="J491" s="10"/>
      <c r="K491" s="10"/>
      <c r="L491" s="12"/>
      <c r="M491" s="29" t="str">
        <f t="shared" si="1"/>
        <v/>
      </c>
      <c r="N491" s="31" t="str">
        <f>IFERROR(__xludf.DUMMYFUNCTION("IF(Account!$F491&lt;&gt;"""", VALUE(REGEXREPLACE($I491, ""\,"", ""."")), """")"),"")</f>
        <v/>
      </c>
      <c r="O491" s="33" t="str">
        <f>IF(Account!$F491&lt;&gt;"", DATEVALUE(MID($A491,4,3) &amp; LEFT($A491,3) &amp; RIGHT($A491,4)) + TIMEVALUE($B491), "")</f>
        <v/>
      </c>
      <c r="P491" s="34" t="str">
        <f>IF(Account!$F491&lt;&gt;"", DATEVALUE(MID($C491,4,3) &amp; LEFT($C491,3) &amp; RIGHT($C491,4)), "")</f>
        <v/>
      </c>
      <c r="Q491" s="35" t="str">
        <f t="array" ref="Q491">IF($R491&lt;&gt;"",IFERROR(INDEX(Investment!$A:$A,MATCH($R491,Investment!$H:$H,0))),)</f>
        <v/>
      </c>
      <c r="R491" s="36" t="str">
        <f t="array" ref="R491">IF(AND($Y491="change",$H491="EUR"),IF(AND($AA491="Crédit",$O491=$O492),$R492,IF(AND($AA491="Débit",$O491=$O490),$R490)),IF(OR(AND(OR($E491&lt;&gt;"",$M491=""),$N491&lt;&gt;0),$A491=""),IFERROR(INDEX(Investment!$H:$H,MATCH($E491,Investment!$F:$F,0))),IFERROR(INDEX($R492:$R1119,MATCH(SUBSTITUTE($I491,"-","",1),$K492:$K1119,0)),INDEX($R492:$R1119,MATCH($K491,$K492:$K1119,0)))))</f>
        <v/>
      </c>
      <c r="S491" s="35" t="str">
        <f t="shared" si="2"/>
        <v/>
      </c>
      <c r="T491" s="37" t="str">
        <f t="shared" si="3"/>
        <v/>
      </c>
      <c r="U491" s="38" t="str">
        <f t="shared" si="4"/>
        <v/>
      </c>
      <c r="V491" s="31" t="str">
        <f t="shared" si="5"/>
        <v/>
      </c>
      <c r="W491" s="39" t="str">
        <f>IFERROR(__xludf.DUMMYFUNCTION(" IF(Account!$F491&lt;&gt;"""", SPLIT(Account!$F491, "" ""), """")"),"")</f>
        <v/>
      </c>
      <c r="X491" s="40"/>
      <c r="Y491" s="40"/>
      <c r="Z491" s="40"/>
      <c r="AA491" s="40"/>
      <c r="AB491" s="40"/>
      <c r="AC491" s="40"/>
      <c r="AD491" s="40"/>
      <c r="AE491" s="40"/>
      <c r="AF491" s="40"/>
      <c r="AG491" s="40"/>
      <c r="AH491" s="40"/>
      <c r="AI491" s="40"/>
      <c r="AJ491" s="40"/>
      <c r="AK491" s="40"/>
    </row>
    <row r="492">
      <c r="A492" s="10"/>
      <c r="B492" s="10"/>
      <c r="C492" s="10"/>
      <c r="D492" s="10"/>
      <c r="E492" s="10"/>
      <c r="F492" s="12"/>
      <c r="G492" s="300"/>
      <c r="H492" s="10"/>
      <c r="I492" s="10"/>
      <c r="J492" s="10"/>
      <c r="K492" s="10"/>
      <c r="L492" s="12"/>
      <c r="M492" s="29" t="str">
        <f t="shared" si="1"/>
        <v/>
      </c>
      <c r="N492" s="31" t="str">
        <f>IFERROR(__xludf.DUMMYFUNCTION("IF(Account!$F492&lt;&gt;"""", VALUE(REGEXREPLACE($I492, ""\,"", ""."")), """")"),"")</f>
        <v/>
      </c>
      <c r="O492" s="33" t="str">
        <f>IF(Account!$F492&lt;&gt;"", DATEVALUE(MID($A492,4,3) &amp; LEFT($A492,3) &amp; RIGHT($A492,4)) + TIMEVALUE($B492), "")</f>
        <v/>
      </c>
      <c r="P492" s="34" t="str">
        <f>IF(Account!$F492&lt;&gt;"", DATEVALUE(MID($C492,4,3) &amp; LEFT($C492,3) &amp; RIGHT($C492,4)), "")</f>
        <v/>
      </c>
      <c r="Q492" s="35" t="str">
        <f t="array" ref="Q492">IF($R492&lt;&gt;"",IFERROR(INDEX(Investment!$A:$A,MATCH($R492,Investment!$H:$H,0))),)</f>
        <v/>
      </c>
      <c r="R492" s="36" t="str">
        <f t="array" ref="R492">IF(AND($Y492="change",$H492="EUR"),IF(AND($AA492="Crédit",$O492=$O493),$R493,IF(AND($AA492="Débit",$O492=$O491),$R491)),IF(OR(AND(OR($E492&lt;&gt;"",$M492=""),$N492&lt;&gt;0),$A492=""),IFERROR(INDEX(Investment!$H:$H,MATCH($E492,Investment!$F:$F,0))),IFERROR(INDEX($R493:$R1119,MATCH(SUBSTITUTE($I492,"-","",1),$K493:$K1119,0)),INDEX($R493:$R1119,MATCH($K492,$K493:$K1119,0)))))</f>
        <v/>
      </c>
      <c r="S492" s="35" t="str">
        <f t="shared" si="2"/>
        <v/>
      </c>
      <c r="T492" s="37" t="str">
        <f t="shared" si="3"/>
        <v/>
      </c>
      <c r="U492" s="38" t="str">
        <f t="shared" si="4"/>
        <v/>
      </c>
      <c r="V492" s="31" t="str">
        <f t="shared" si="5"/>
        <v/>
      </c>
      <c r="W492" s="39" t="str">
        <f>IFERROR(__xludf.DUMMYFUNCTION(" IF(Account!$F492&lt;&gt;"""", SPLIT(Account!$F492, "" ""), """")"),"")</f>
        <v/>
      </c>
      <c r="X492" s="40"/>
      <c r="Y492" s="40"/>
      <c r="Z492" s="40"/>
      <c r="AA492" s="40"/>
      <c r="AB492" s="40"/>
      <c r="AC492" s="40"/>
      <c r="AD492" s="40"/>
      <c r="AE492" s="40"/>
      <c r="AF492" s="40"/>
      <c r="AG492" s="40"/>
      <c r="AH492" s="40"/>
      <c r="AI492" s="40"/>
      <c r="AJ492" s="40"/>
      <c r="AK492" s="40"/>
    </row>
    <row r="493">
      <c r="A493" s="10"/>
      <c r="B493" s="10"/>
      <c r="C493" s="10"/>
      <c r="D493" s="10"/>
      <c r="E493" s="10"/>
      <c r="F493" s="12"/>
      <c r="G493" s="300"/>
      <c r="H493" s="10"/>
      <c r="I493" s="10"/>
      <c r="J493" s="10"/>
      <c r="K493" s="10"/>
      <c r="L493" s="12"/>
      <c r="M493" s="29" t="str">
        <f t="shared" si="1"/>
        <v/>
      </c>
      <c r="N493" s="31" t="str">
        <f>IFERROR(__xludf.DUMMYFUNCTION("IF(Account!$F493&lt;&gt;"""", VALUE(REGEXREPLACE($I493, ""\,"", ""."")), """")"),"")</f>
        <v/>
      </c>
      <c r="O493" s="33" t="str">
        <f>IF(Account!$F493&lt;&gt;"", DATEVALUE(MID($A493,4,3) &amp; LEFT($A493,3) &amp; RIGHT($A493,4)) + TIMEVALUE($B493), "")</f>
        <v/>
      </c>
      <c r="P493" s="34" t="str">
        <f>IF(Account!$F493&lt;&gt;"", DATEVALUE(MID($C493,4,3) &amp; LEFT($C493,3) &amp; RIGHT($C493,4)), "")</f>
        <v/>
      </c>
      <c r="Q493" s="35" t="str">
        <f t="array" ref="Q493">IF($R493&lt;&gt;"",IFERROR(INDEX(Investment!$A:$A,MATCH($R493,Investment!$H:$H,0))),)</f>
        <v/>
      </c>
      <c r="R493" s="36" t="str">
        <f t="array" ref="R493">IF(AND($Y493="change",$H493="EUR"),IF(AND($AA493="Crédit",$O493=$O494),$R494,IF(AND($AA493="Débit",$O493=$O492),$R492)),IF(OR(AND(OR($E493&lt;&gt;"",$M493=""),$N493&lt;&gt;0),$A493=""),IFERROR(INDEX(Investment!$H:$H,MATCH($E493,Investment!$F:$F,0))),IFERROR(INDEX($R494:$R1119,MATCH(SUBSTITUTE($I493,"-","",1),$K494:$K1119,0)),INDEX($R494:$R1119,MATCH($K493,$K494:$K1119,0)))))</f>
        <v/>
      </c>
      <c r="S493" s="35" t="str">
        <f t="shared" si="2"/>
        <v/>
      </c>
      <c r="T493" s="37" t="str">
        <f t="shared" si="3"/>
        <v/>
      </c>
      <c r="U493" s="38" t="str">
        <f t="shared" si="4"/>
        <v/>
      </c>
      <c r="V493" s="31" t="str">
        <f t="shared" si="5"/>
        <v/>
      </c>
      <c r="W493" s="39" t="str">
        <f>IFERROR(__xludf.DUMMYFUNCTION(" IF(Account!$F493&lt;&gt;"""", SPLIT(Account!$F493, "" ""), """")"),"")</f>
        <v/>
      </c>
      <c r="X493" s="40"/>
      <c r="Y493" s="40"/>
      <c r="Z493" s="40"/>
      <c r="AA493" s="40"/>
      <c r="AB493" s="40"/>
      <c r="AC493" s="40"/>
      <c r="AD493" s="40"/>
      <c r="AE493" s="40"/>
      <c r="AF493" s="40"/>
      <c r="AG493" s="40"/>
      <c r="AH493" s="40"/>
      <c r="AI493" s="40"/>
      <c r="AJ493" s="40"/>
      <c r="AK493" s="40"/>
    </row>
    <row r="494">
      <c r="A494" s="10"/>
      <c r="B494" s="10"/>
      <c r="C494" s="10"/>
      <c r="D494" s="300"/>
      <c r="E494" s="300"/>
      <c r="F494" s="12"/>
      <c r="G494" s="300"/>
      <c r="H494" s="10"/>
      <c r="I494" s="10"/>
      <c r="J494" s="10"/>
      <c r="K494" s="10"/>
      <c r="L494" s="12"/>
      <c r="M494" s="29" t="str">
        <f t="shared" si="1"/>
        <v/>
      </c>
      <c r="N494" s="31" t="str">
        <f>IFERROR(__xludf.DUMMYFUNCTION("IF(Account!$F494&lt;&gt;"""", VALUE(REGEXREPLACE($I494, ""\,"", ""."")), """")"),"")</f>
        <v/>
      </c>
      <c r="O494" s="33" t="str">
        <f>IF(Account!$F494&lt;&gt;"", DATEVALUE(MID($A494,4,3) &amp; LEFT($A494,3) &amp; RIGHT($A494,4)) + TIMEVALUE($B494), "")</f>
        <v/>
      </c>
      <c r="P494" s="34" t="str">
        <f>IF(Account!$F494&lt;&gt;"", DATEVALUE(MID($C494,4,3) &amp; LEFT($C494,3) &amp; RIGHT($C494,4)), "")</f>
        <v/>
      </c>
      <c r="Q494" s="35" t="str">
        <f t="array" ref="Q494">IF($R494&lt;&gt;"",IFERROR(INDEX(Investment!$A:$A,MATCH($R494,Investment!$H:$H,0))),)</f>
        <v/>
      </c>
      <c r="R494" s="36" t="str">
        <f t="array" ref="R494">IF(AND($Y494="change",$H494="EUR"),IF(AND($AA494="Crédit",$O494=$O495),$R495,IF(AND($AA494="Débit",$O494=$O493),$R493)),IF(OR(AND(OR($E494&lt;&gt;"",$M494=""),$N494&lt;&gt;0),$A494=""),IFERROR(INDEX(Investment!$H:$H,MATCH($E494,Investment!$F:$F,0))),IFERROR(INDEX($R495:$R1119,MATCH(SUBSTITUTE($I494,"-","",1),$K495:$K1119,0)),INDEX($R495:$R1119,MATCH($K494,$K495:$K1119,0)))))</f>
        <v/>
      </c>
      <c r="S494" s="35" t="str">
        <f t="shared" si="2"/>
        <v/>
      </c>
      <c r="T494" s="37" t="str">
        <f t="shared" si="3"/>
        <v/>
      </c>
      <c r="U494" s="38" t="str">
        <f t="shared" si="4"/>
        <v/>
      </c>
      <c r="V494" s="31" t="str">
        <f t="shared" si="5"/>
        <v/>
      </c>
      <c r="W494" s="39" t="str">
        <f>IFERROR(__xludf.DUMMYFUNCTION(" IF(Account!$F494&lt;&gt;"""", SPLIT(Account!$F494, "" ""), """")"),"")</f>
        <v/>
      </c>
      <c r="X494" s="40"/>
      <c r="Y494" s="40"/>
      <c r="Z494" s="40"/>
      <c r="AA494" s="40"/>
      <c r="AB494" s="40"/>
      <c r="AC494" s="40"/>
      <c r="AD494" s="40"/>
      <c r="AE494" s="40"/>
      <c r="AF494" s="40"/>
      <c r="AG494" s="40"/>
      <c r="AH494" s="40"/>
      <c r="AI494" s="40"/>
      <c r="AJ494" s="40"/>
      <c r="AK494" s="40"/>
    </row>
    <row r="495">
      <c r="A495" s="10"/>
      <c r="B495" s="10"/>
      <c r="C495" s="10"/>
      <c r="D495" s="300"/>
      <c r="E495" s="300"/>
      <c r="F495" s="12"/>
      <c r="G495" s="300"/>
      <c r="H495" s="10"/>
      <c r="I495" s="10"/>
      <c r="J495" s="10"/>
      <c r="K495" s="10"/>
      <c r="L495" s="12"/>
      <c r="M495" s="29" t="str">
        <f t="shared" si="1"/>
        <v/>
      </c>
      <c r="N495" s="31" t="str">
        <f>IFERROR(__xludf.DUMMYFUNCTION("IF(Account!$F495&lt;&gt;"""", VALUE(REGEXREPLACE($I495, ""\,"", ""."")), """")"),"")</f>
        <v/>
      </c>
      <c r="O495" s="33" t="str">
        <f>IF(Account!$F495&lt;&gt;"", DATEVALUE(MID($A495,4,3) &amp; LEFT($A495,3) &amp; RIGHT($A495,4)) + TIMEVALUE($B495), "")</f>
        <v/>
      </c>
      <c r="P495" s="34" t="str">
        <f>IF(Account!$F495&lt;&gt;"", DATEVALUE(MID($C495,4,3) &amp; LEFT($C495,3) &amp; RIGHT($C495,4)), "")</f>
        <v/>
      </c>
      <c r="Q495" s="35" t="str">
        <f t="array" ref="Q495">IF($R495&lt;&gt;"",IFERROR(INDEX(Investment!$A:$A,MATCH($R495,Investment!$H:$H,0))),)</f>
        <v/>
      </c>
      <c r="R495" s="36" t="str">
        <f t="array" ref="R495">IF(AND($Y495="change",$H495="EUR"),IF(AND($AA495="Crédit",$O495=$O496),$R496,IF(AND($AA495="Débit",$O495=$O494),$R494)),IF(OR(AND(OR($E495&lt;&gt;"",$M495=""),$N495&lt;&gt;0),$A495=""),IFERROR(INDEX(Investment!$H:$H,MATCH($E495,Investment!$F:$F,0))),IFERROR(INDEX($R496:$R1119,MATCH(SUBSTITUTE($I495,"-","",1),$K496:$K1119,0)),INDEX($R496:$R1119,MATCH($K495,$K496:$K1119,0)))))</f>
        <v/>
      </c>
      <c r="S495" s="35" t="str">
        <f t="shared" si="2"/>
        <v/>
      </c>
      <c r="T495" s="37" t="str">
        <f t="shared" si="3"/>
        <v/>
      </c>
      <c r="U495" s="38" t="str">
        <f t="shared" si="4"/>
        <v/>
      </c>
      <c r="V495" s="31" t="str">
        <f t="shared" si="5"/>
        <v/>
      </c>
      <c r="W495" s="39" t="str">
        <f>IFERROR(__xludf.DUMMYFUNCTION(" IF(Account!$F495&lt;&gt;"""", SPLIT(Account!$F495, "" ""), """")"),"")</f>
        <v/>
      </c>
      <c r="X495" s="40"/>
      <c r="Y495" s="40"/>
      <c r="Z495" s="40"/>
      <c r="AA495" s="40"/>
      <c r="AB495" s="40"/>
      <c r="AC495" s="40"/>
      <c r="AD495" s="40"/>
      <c r="AE495" s="40"/>
      <c r="AF495" s="40"/>
      <c r="AG495" s="40"/>
      <c r="AH495" s="40"/>
      <c r="AI495" s="40"/>
      <c r="AJ495" s="40"/>
      <c r="AK495" s="40"/>
    </row>
    <row r="496">
      <c r="A496" s="10"/>
      <c r="B496" s="10"/>
      <c r="C496" s="10"/>
      <c r="D496" s="300"/>
      <c r="E496" s="300"/>
      <c r="F496" s="12"/>
      <c r="G496" s="300"/>
      <c r="H496" s="10"/>
      <c r="I496" s="10"/>
      <c r="J496" s="10"/>
      <c r="K496" s="10"/>
      <c r="L496" s="12"/>
      <c r="M496" s="29" t="str">
        <f t="shared" si="1"/>
        <v/>
      </c>
      <c r="N496" s="31" t="str">
        <f>IFERROR(__xludf.DUMMYFUNCTION("IF(Account!$F496&lt;&gt;"""", VALUE(REGEXREPLACE($I496, ""\,"", ""."")), """")"),"")</f>
        <v/>
      </c>
      <c r="O496" s="33" t="str">
        <f>IF(Account!$F496&lt;&gt;"", DATEVALUE(MID($A496,4,3) &amp; LEFT($A496,3) &amp; RIGHT($A496,4)) + TIMEVALUE($B496), "")</f>
        <v/>
      </c>
      <c r="P496" s="34" t="str">
        <f>IF(Account!$F496&lt;&gt;"", DATEVALUE(MID($C496,4,3) &amp; LEFT($C496,3) &amp; RIGHT($C496,4)), "")</f>
        <v/>
      </c>
      <c r="Q496" s="35" t="str">
        <f t="array" ref="Q496">IF($R496&lt;&gt;"",IFERROR(INDEX(Investment!$A:$A,MATCH($R496,Investment!$H:$H,0))),)</f>
        <v/>
      </c>
      <c r="R496" s="36" t="str">
        <f t="array" ref="R496">IF(AND($Y496="change",$H496="EUR"),IF(AND($AA496="Crédit",$O496=$O497),$R497,IF(AND($AA496="Débit",$O496=$O495),$R495)),IF(OR(AND(OR($E496&lt;&gt;"",$M496=""),$N496&lt;&gt;0),$A496=""),IFERROR(INDEX(Investment!$H:$H,MATCH($E496,Investment!$F:$F,0))),IFERROR(INDEX($R497:$R1119,MATCH(SUBSTITUTE($I496,"-","",1),$K497:$K1119,0)),INDEX($R497:$R1119,MATCH($K496,$K497:$K1119,0)))))</f>
        <v/>
      </c>
      <c r="S496" s="35" t="str">
        <f t="shared" si="2"/>
        <v/>
      </c>
      <c r="T496" s="37" t="str">
        <f t="shared" si="3"/>
        <v/>
      </c>
      <c r="U496" s="38" t="str">
        <f t="shared" si="4"/>
        <v/>
      </c>
      <c r="V496" s="31" t="str">
        <f t="shared" si="5"/>
        <v/>
      </c>
      <c r="W496" s="39" t="str">
        <f>IFERROR(__xludf.DUMMYFUNCTION(" IF(Account!$F496&lt;&gt;"""", SPLIT(Account!$F496, "" ""), """")"),"")</f>
        <v/>
      </c>
      <c r="X496" s="40"/>
      <c r="Y496" s="40"/>
      <c r="Z496" s="40"/>
      <c r="AA496" s="40"/>
      <c r="AB496" s="40"/>
      <c r="AC496" s="40"/>
      <c r="AD496" s="40"/>
      <c r="AE496" s="40"/>
      <c r="AF496" s="40"/>
      <c r="AG496" s="40"/>
      <c r="AH496" s="40"/>
      <c r="AI496" s="40"/>
      <c r="AJ496" s="40"/>
      <c r="AK496" s="40"/>
    </row>
    <row r="497">
      <c r="A497" s="10"/>
      <c r="B497" s="10"/>
      <c r="C497" s="10"/>
      <c r="D497" s="10"/>
      <c r="E497" s="10"/>
      <c r="F497" s="12"/>
      <c r="G497" s="300"/>
      <c r="H497" s="300"/>
      <c r="I497" s="300"/>
      <c r="J497" s="10"/>
      <c r="K497" s="10"/>
      <c r="L497" s="12"/>
      <c r="M497" s="29" t="str">
        <f t="shared" si="1"/>
        <v/>
      </c>
      <c r="N497" s="31" t="str">
        <f>IFERROR(__xludf.DUMMYFUNCTION("IF(Account!$F497&lt;&gt;"""", VALUE(REGEXREPLACE($I497, ""\,"", ""."")), """")"),"")</f>
        <v/>
      </c>
      <c r="O497" s="33" t="str">
        <f>IF(Account!$F497&lt;&gt;"", DATEVALUE(MID($A497,4,3) &amp; LEFT($A497,3) &amp; RIGHT($A497,4)) + TIMEVALUE($B497), "")</f>
        <v/>
      </c>
      <c r="P497" s="34" t="str">
        <f>IF(Account!$F497&lt;&gt;"", DATEVALUE(MID($C497,4,3) &amp; LEFT($C497,3) &amp; RIGHT($C497,4)), "")</f>
        <v/>
      </c>
      <c r="Q497" s="35" t="str">
        <f t="array" ref="Q497">IF($R497&lt;&gt;"",IFERROR(INDEX(Investment!$A:$A,MATCH($R497,Investment!$H:$H,0))),)</f>
        <v/>
      </c>
      <c r="R497" s="36" t="str">
        <f t="array" ref="R497">IF(AND($Y497="change",$H497="EUR"),IF(AND($AA497="Crédit",$O497=$O498),$R498,IF(AND($AA497="Débit",$O497=$O496),$R496)),IF(OR(AND(OR($E497&lt;&gt;"",$M497=""),$N497&lt;&gt;0),$A497=""),IFERROR(INDEX(Investment!$H:$H,MATCH($E497,Investment!$F:$F,0))),IFERROR(INDEX($R498:$R1119,MATCH(SUBSTITUTE($I497,"-","",1),$K498:$K1119,0)),INDEX($R498:$R1119,MATCH($K497,$K498:$K1119,0)))))</f>
        <v/>
      </c>
      <c r="S497" s="35" t="str">
        <f t="shared" si="2"/>
        <v/>
      </c>
      <c r="T497" s="37" t="str">
        <f t="shared" si="3"/>
        <v/>
      </c>
      <c r="U497" s="38" t="str">
        <f t="shared" si="4"/>
        <v/>
      </c>
      <c r="V497" s="31" t="str">
        <f t="shared" si="5"/>
        <v/>
      </c>
      <c r="W497" s="39" t="str">
        <f>IFERROR(__xludf.DUMMYFUNCTION(" IF(Account!$F497&lt;&gt;"""", SPLIT(Account!$F497, "" ""), """")"),"")</f>
        <v/>
      </c>
      <c r="X497" s="40"/>
      <c r="Y497" s="40"/>
      <c r="Z497" s="40"/>
      <c r="AA497" s="40"/>
      <c r="AB497" s="40"/>
      <c r="AC497" s="40"/>
      <c r="AD497" s="40"/>
      <c r="AE497" s="40"/>
      <c r="AF497" s="40"/>
      <c r="AG497" s="40"/>
      <c r="AH497" s="40"/>
      <c r="AI497" s="40"/>
      <c r="AJ497" s="40"/>
      <c r="AK497" s="40"/>
    </row>
    <row r="498">
      <c r="A498" s="10"/>
      <c r="B498" s="10"/>
      <c r="C498" s="10"/>
      <c r="D498" s="10"/>
      <c r="E498" s="10"/>
      <c r="F498" s="12"/>
      <c r="G498" s="10"/>
      <c r="H498" s="10"/>
      <c r="I498" s="10"/>
      <c r="J498" s="10"/>
      <c r="K498" s="10"/>
      <c r="L498" s="12"/>
      <c r="M498" s="29" t="str">
        <f t="shared" si="1"/>
        <v/>
      </c>
      <c r="N498" s="31" t="str">
        <f>IFERROR(__xludf.DUMMYFUNCTION("IF(Account!$F498&lt;&gt;"""", VALUE(REGEXREPLACE($I498, ""\,"", ""."")), """")"),"")</f>
        <v/>
      </c>
      <c r="O498" s="33" t="str">
        <f>IF(Account!$F498&lt;&gt;"", DATEVALUE(MID($A498,4,3) &amp; LEFT($A498,3) &amp; RIGHT($A498,4)) + TIMEVALUE($B498), "")</f>
        <v/>
      </c>
      <c r="P498" s="34" t="str">
        <f>IF(Account!$F498&lt;&gt;"", DATEVALUE(MID($C498,4,3) &amp; LEFT($C498,3) &amp; RIGHT($C498,4)), "")</f>
        <v/>
      </c>
      <c r="Q498" s="35" t="str">
        <f t="array" ref="Q498">IF($R498&lt;&gt;"",IFERROR(INDEX(Investment!$A:$A,MATCH($R498,Investment!$H:$H,0))),)</f>
        <v/>
      </c>
      <c r="R498" s="36" t="str">
        <f t="array" ref="R498">IF(AND($Y498="change",$H498="EUR"),IF(AND($AA498="Crédit",$O498=$O499),$R499,IF(AND($AA498="Débit",$O498=$O497),$R497)),IF(OR(AND(OR($E498&lt;&gt;"",$M498=""),$N498&lt;&gt;0),$A498=""),IFERROR(INDEX(Investment!$H:$H,MATCH($E498,Investment!$F:$F,0))),IFERROR(INDEX($R499:$R1119,MATCH(SUBSTITUTE($I498,"-","",1),$K499:$K1119,0)),INDEX($R499:$R1119,MATCH($K498,$K499:$K1119,0)))))</f>
        <v/>
      </c>
      <c r="S498" s="35" t="str">
        <f t="shared" si="2"/>
        <v/>
      </c>
      <c r="T498" s="37" t="str">
        <f t="shared" si="3"/>
        <v/>
      </c>
      <c r="U498" s="38" t="str">
        <f t="shared" si="4"/>
        <v/>
      </c>
      <c r="V498" s="31" t="str">
        <f t="shared" si="5"/>
        <v/>
      </c>
      <c r="W498" s="39" t="str">
        <f>IFERROR(__xludf.DUMMYFUNCTION(" IF(Account!$F498&lt;&gt;"""", SPLIT(Account!$F498, "" ""), """")"),"")</f>
        <v/>
      </c>
      <c r="X498" s="40"/>
      <c r="Y498" s="40"/>
      <c r="Z498" s="40"/>
      <c r="AA498" s="40"/>
      <c r="AB498" s="40"/>
      <c r="AC498" s="40"/>
      <c r="AD498" s="40"/>
      <c r="AE498" s="40"/>
      <c r="AF498" s="40"/>
      <c r="AG498" s="40"/>
      <c r="AH498" s="40"/>
      <c r="AI498" s="40"/>
      <c r="AJ498" s="40"/>
      <c r="AK498" s="40"/>
    </row>
    <row r="499">
      <c r="A499" s="10"/>
      <c r="B499" s="10"/>
      <c r="C499" s="10"/>
      <c r="D499" s="10"/>
      <c r="E499" s="10"/>
      <c r="F499" s="12"/>
      <c r="G499" s="300"/>
      <c r="H499" s="10"/>
      <c r="I499" s="10"/>
      <c r="J499" s="10"/>
      <c r="K499" s="10"/>
      <c r="L499" s="12"/>
      <c r="M499" s="29" t="str">
        <f t="shared" si="1"/>
        <v/>
      </c>
      <c r="N499" s="31" t="str">
        <f>IFERROR(__xludf.DUMMYFUNCTION("IF(Account!$F499&lt;&gt;"""", VALUE(REGEXREPLACE($I499, ""\,"", ""."")), """")"),"")</f>
        <v/>
      </c>
      <c r="O499" s="33" t="str">
        <f>IF(Account!$F499&lt;&gt;"", DATEVALUE(MID($A499,4,3) &amp; LEFT($A499,3) &amp; RIGHT($A499,4)) + TIMEVALUE($B499), "")</f>
        <v/>
      </c>
      <c r="P499" s="34" t="str">
        <f>IF(Account!$F499&lt;&gt;"", DATEVALUE(MID($C499,4,3) &amp; LEFT($C499,3) &amp; RIGHT($C499,4)), "")</f>
        <v/>
      </c>
      <c r="Q499" s="35" t="str">
        <f t="array" ref="Q499">IF($R499&lt;&gt;"",IFERROR(INDEX(Investment!$A:$A,MATCH($R499,Investment!$H:$H,0))),)</f>
        <v/>
      </c>
      <c r="R499" s="36" t="str">
        <f t="array" ref="R499">IF(AND($Y499="change",$H499="EUR"),IF(AND($AA499="Crédit",$O499=$O500),$R500,IF(AND($AA499="Débit",$O499=$O498),$R498)),IF(OR(AND(OR($E499&lt;&gt;"",$M499=""),$N499&lt;&gt;0),$A499=""),IFERROR(INDEX(Investment!$H:$H,MATCH($E499,Investment!$F:$F,0))),IFERROR(INDEX($R500:$R1119,MATCH(SUBSTITUTE($I499,"-","",1),$K500:$K1119,0)),INDEX($R500:$R1119,MATCH($K499,$K500:$K1119,0)))))</f>
        <v/>
      </c>
      <c r="S499" s="35" t="str">
        <f t="shared" si="2"/>
        <v/>
      </c>
      <c r="T499" s="37" t="str">
        <f t="shared" si="3"/>
        <v/>
      </c>
      <c r="U499" s="38" t="str">
        <f t="shared" si="4"/>
        <v/>
      </c>
      <c r="V499" s="31" t="str">
        <f t="shared" si="5"/>
        <v/>
      </c>
      <c r="W499" s="39" t="str">
        <f>IFERROR(__xludf.DUMMYFUNCTION(" IF(Account!$F499&lt;&gt;"""", SPLIT(Account!$F499, "" ""), """")"),"")</f>
        <v/>
      </c>
      <c r="X499" s="40"/>
      <c r="Y499" s="40"/>
      <c r="Z499" s="40"/>
      <c r="AA499" s="40"/>
      <c r="AB499" s="40"/>
      <c r="AC499" s="40"/>
      <c r="AD499" s="40"/>
      <c r="AE499" s="40"/>
      <c r="AF499" s="40"/>
      <c r="AG499" s="40"/>
      <c r="AH499" s="40"/>
      <c r="AI499" s="40"/>
      <c r="AJ499" s="40"/>
      <c r="AK499" s="40"/>
    </row>
    <row r="500">
      <c r="A500" s="10"/>
      <c r="B500" s="10"/>
      <c r="C500" s="10"/>
      <c r="D500" s="10"/>
      <c r="E500" s="10"/>
      <c r="F500" s="12"/>
      <c r="G500" s="10"/>
      <c r="H500" s="10"/>
      <c r="I500" s="10"/>
      <c r="J500" s="10"/>
      <c r="K500" s="10"/>
      <c r="L500" s="12"/>
      <c r="M500" s="29" t="str">
        <f t="shared" si="1"/>
        <v/>
      </c>
      <c r="N500" s="31" t="str">
        <f>IFERROR(__xludf.DUMMYFUNCTION("IF(Account!$F500&lt;&gt;"""", VALUE(REGEXREPLACE($I500, ""\,"", ""."")), """")"),"")</f>
        <v/>
      </c>
      <c r="O500" s="33" t="str">
        <f>IF(Account!$F500&lt;&gt;"", DATEVALUE(MID($A500,4,3) &amp; LEFT($A500,3) &amp; RIGHT($A500,4)) + TIMEVALUE($B500), "")</f>
        <v/>
      </c>
      <c r="P500" s="34" t="str">
        <f>IF(Account!$F500&lt;&gt;"", DATEVALUE(MID($C500,4,3) &amp; LEFT($C500,3) &amp; RIGHT($C500,4)), "")</f>
        <v/>
      </c>
      <c r="Q500" s="35" t="str">
        <f t="array" ref="Q500">IF($R500&lt;&gt;"",IFERROR(INDEX(Investment!$A:$A,MATCH($R500,Investment!$H:$H,0))),)</f>
        <v/>
      </c>
      <c r="R500" s="36" t="str">
        <f t="array" ref="R500">IF(AND($Y500="change",$H500="EUR"),IF(AND($AA500="Crédit",$O500=$O501),$R501,IF(AND($AA500="Débit",$O500=$O499),$R499)),IF(OR(AND(OR($E500&lt;&gt;"",$M500=""),$N500&lt;&gt;0),$A500=""),IFERROR(INDEX(Investment!$H:$H,MATCH($E500,Investment!$F:$F,0))),IFERROR(INDEX($R501:$R1119,MATCH(SUBSTITUTE($I500,"-","",1),$K501:$K1119,0)),INDEX($R501:$R1119,MATCH($K500,$K501:$K1119,0)))))</f>
        <v/>
      </c>
      <c r="S500" s="35" t="str">
        <f t="shared" si="2"/>
        <v/>
      </c>
      <c r="T500" s="37" t="str">
        <f t="shared" si="3"/>
        <v/>
      </c>
      <c r="U500" s="38" t="str">
        <f t="shared" si="4"/>
        <v/>
      </c>
      <c r="V500" s="31" t="str">
        <f t="shared" si="5"/>
        <v/>
      </c>
      <c r="W500" s="39" t="str">
        <f>IFERROR(__xludf.DUMMYFUNCTION(" IF(Account!$F500&lt;&gt;"""", SPLIT(Account!$F500, "" ""), """")"),"")</f>
        <v/>
      </c>
      <c r="X500" s="40"/>
      <c r="Y500" s="40"/>
      <c r="Z500" s="40"/>
      <c r="AA500" s="40"/>
      <c r="AB500" s="40"/>
      <c r="AC500" s="40"/>
      <c r="AD500" s="40"/>
      <c r="AE500" s="40"/>
      <c r="AF500" s="40"/>
      <c r="AG500" s="40"/>
      <c r="AH500" s="40"/>
      <c r="AI500" s="40"/>
      <c r="AJ500" s="40"/>
      <c r="AK500" s="40"/>
    </row>
    <row r="501">
      <c r="A501" s="10"/>
      <c r="B501" s="10"/>
      <c r="C501" s="10"/>
      <c r="D501" s="10"/>
      <c r="E501" s="10"/>
      <c r="F501" s="12"/>
      <c r="G501" s="300"/>
      <c r="H501" s="10"/>
      <c r="I501" s="10"/>
      <c r="J501" s="10"/>
      <c r="K501" s="10"/>
      <c r="L501" s="12"/>
      <c r="M501" s="29" t="str">
        <f t="shared" si="1"/>
        <v/>
      </c>
      <c r="N501" s="31" t="str">
        <f>IFERROR(__xludf.DUMMYFUNCTION("IF(Account!$F501&lt;&gt;"""", VALUE(REGEXREPLACE($I501, ""\,"", ""."")), """")"),"")</f>
        <v/>
      </c>
      <c r="O501" s="33" t="str">
        <f>IF(Account!$F501&lt;&gt;"", DATEVALUE(MID($A501,4,3) &amp; LEFT($A501,3) &amp; RIGHT($A501,4)) + TIMEVALUE($B501), "")</f>
        <v/>
      </c>
      <c r="P501" s="34" t="str">
        <f>IF(Account!$F501&lt;&gt;"", DATEVALUE(MID($C501,4,3) &amp; LEFT($C501,3) &amp; RIGHT($C501,4)), "")</f>
        <v/>
      </c>
      <c r="Q501" s="35" t="str">
        <f t="array" ref="Q501">IF($R501&lt;&gt;"",IFERROR(INDEX(Investment!$A:$A,MATCH($R501,Investment!$H:$H,0))),)</f>
        <v/>
      </c>
      <c r="R501" s="36" t="str">
        <f t="array" ref="R501">IF(AND($Y501="change",$H501="EUR"),IF(AND($AA501="Crédit",$O501=$O502),$R502,IF(AND($AA501="Débit",$O501=$O500),$R500)),IF(OR(AND(OR($E501&lt;&gt;"",$M501=""),$N501&lt;&gt;0),$A501=""),IFERROR(INDEX(Investment!$H:$H,MATCH($E501,Investment!$F:$F,0))),IFERROR(INDEX($R502:$R1119,MATCH(SUBSTITUTE($I501,"-","",1),$K502:$K1119,0)),INDEX($R502:$R1119,MATCH($K501,$K502:$K1119,0)))))</f>
        <v/>
      </c>
      <c r="S501" s="35" t="str">
        <f t="shared" si="2"/>
        <v/>
      </c>
      <c r="T501" s="37" t="str">
        <f t="shared" si="3"/>
        <v/>
      </c>
      <c r="U501" s="38" t="str">
        <f t="shared" si="4"/>
        <v/>
      </c>
      <c r="V501" s="31" t="str">
        <f t="shared" si="5"/>
        <v/>
      </c>
      <c r="W501" s="39" t="str">
        <f>IFERROR(__xludf.DUMMYFUNCTION(" IF(Account!$F501&lt;&gt;"""", SPLIT(Account!$F501, "" ""), """")"),"")</f>
        <v/>
      </c>
      <c r="X501" s="40"/>
      <c r="Y501" s="40"/>
      <c r="Z501" s="40"/>
      <c r="AA501" s="40"/>
      <c r="AB501" s="40"/>
      <c r="AC501" s="40"/>
      <c r="AD501" s="40"/>
      <c r="AE501" s="40"/>
      <c r="AF501" s="40"/>
      <c r="AG501" s="40"/>
      <c r="AH501" s="40"/>
      <c r="AI501" s="40"/>
      <c r="AJ501" s="40"/>
      <c r="AK501" s="40"/>
    </row>
    <row r="502">
      <c r="A502" s="10"/>
      <c r="B502" s="10"/>
      <c r="C502" s="10"/>
      <c r="D502" s="10"/>
      <c r="E502" s="10"/>
      <c r="F502" s="12"/>
      <c r="G502" s="300"/>
      <c r="H502" s="10"/>
      <c r="I502" s="10"/>
      <c r="J502" s="10"/>
      <c r="K502" s="10"/>
      <c r="L502" s="12"/>
      <c r="M502" s="29" t="str">
        <f t="shared" si="1"/>
        <v/>
      </c>
      <c r="N502" s="31" t="str">
        <f>IFERROR(__xludf.DUMMYFUNCTION("IF(Account!$F502&lt;&gt;"""", VALUE(REGEXREPLACE($I502, ""\,"", ""."")), """")"),"")</f>
        <v/>
      </c>
      <c r="O502" s="33" t="str">
        <f>IF(Account!$F502&lt;&gt;"", DATEVALUE(MID($A502,4,3) &amp; LEFT($A502,3) &amp; RIGHT($A502,4)) + TIMEVALUE($B502), "")</f>
        <v/>
      </c>
      <c r="P502" s="34" t="str">
        <f>IF(Account!$F502&lt;&gt;"", DATEVALUE(MID($C502,4,3) &amp; LEFT($C502,3) &amp; RIGHT($C502,4)), "")</f>
        <v/>
      </c>
      <c r="Q502" s="35" t="str">
        <f t="array" ref="Q502">IF($R502&lt;&gt;"",IFERROR(INDEX(Investment!$A:$A,MATCH($R502,Investment!$H:$H,0))),)</f>
        <v/>
      </c>
      <c r="R502" s="36" t="str">
        <f t="array" ref="R502">IF(AND($Y502="change",$H502="EUR"),IF(AND($AA502="Crédit",$O502=$O503),$R503,IF(AND($AA502="Débit",$O502=$O501),$R501)),IF(OR(AND(OR($E502&lt;&gt;"",$M502=""),$N502&lt;&gt;0),$A502=""),IFERROR(INDEX(Investment!$H:$H,MATCH($E502,Investment!$F:$F,0))),IFERROR(INDEX($R503:$R1119,MATCH(SUBSTITUTE($I502,"-","",1),$K503:$K1119,0)),INDEX($R503:$R1119,MATCH($K502,$K503:$K1119,0)))))</f>
        <v/>
      </c>
      <c r="S502" s="35" t="str">
        <f t="shared" si="2"/>
        <v/>
      </c>
      <c r="T502" s="37" t="str">
        <f t="shared" si="3"/>
        <v/>
      </c>
      <c r="U502" s="38" t="str">
        <f t="shared" si="4"/>
        <v/>
      </c>
      <c r="V502" s="31" t="str">
        <f t="shared" si="5"/>
        <v/>
      </c>
      <c r="W502" s="39" t="str">
        <f>IFERROR(__xludf.DUMMYFUNCTION(" IF(Account!$F502&lt;&gt;"""", SPLIT(Account!$F502, "" ""), """")"),"")</f>
        <v/>
      </c>
      <c r="X502" s="40"/>
      <c r="Y502" s="40"/>
      <c r="Z502" s="40"/>
      <c r="AA502" s="40"/>
      <c r="AB502" s="40"/>
      <c r="AC502" s="40"/>
      <c r="AD502" s="40"/>
      <c r="AE502" s="40"/>
      <c r="AF502" s="40"/>
      <c r="AG502" s="40"/>
      <c r="AH502" s="40"/>
      <c r="AI502" s="40"/>
      <c r="AJ502" s="40"/>
      <c r="AK502" s="40"/>
    </row>
    <row r="503">
      <c r="A503" s="10"/>
      <c r="B503" s="10"/>
      <c r="C503" s="10"/>
      <c r="D503" s="10"/>
      <c r="E503" s="10"/>
      <c r="F503" s="12"/>
      <c r="G503" s="300"/>
      <c r="H503" s="10"/>
      <c r="I503" s="10"/>
      <c r="J503" s="10"/>
      <c r="K503" s="10"/>
      <c r="L503" s="12"/>
      <c r="M503" s="29" t="str">
        <f t="shared" si="1"/>
        <v/>
      </c>
      <c r="N503" s="31" t="str">
        <f>IFERROR(__xludf.DUMMYFUNCTION("IF(Account!$F503&lt;&gt;"""", VALUE(REGEXREPLACE($I503, ""\,"", ""."")), """")"),"")</f>
        <v/>
      </c>
      <c r="O503" s="33" t="str">
        <f>IF(Account!$F503&lt;&gt;"", DATEVALUE(MID($A503,4,3) &amp; LEFT($A503,3) &amp; RIGHT($A503,4)) + TIMEVALUE($B503), "")</f>
        <v/>
      </c>
      <c r="P503" s="34" t="str">
        <f>IF(Account!$F503&lt;&gt;"", DATEVALUE(MID($C503,4,3) &amp; LEFT($C503,3) &amp; RIGHT($C503,4)), "")</f>
        <v/>
      </c>
      <c r="Q503" s="35" t="str">
        <f t="array" ref="Q503">IF($R503&lt;&gt;"",IFERROR(INDEX(Investment!$A:$A,MATCH($R503,Investment!$H:$H,0))),)</f>
        <v/>
      </c>
      <c r="R503" s="36" t="str">
        <f t="array" ref="R503">IF(AND($Y503="change",$H503="EUR"),IF(AND($AA503="Crédit",$O503=$O504),$R504,IF(AND($AA503="Débit",$O503=$O502),$R502)),IF(OR(AND(OR($E503&lt;&gt;"",$M503=""),$N503&lt;&gt;0),$A503=""),IFERROR(INDEX(Investment!$H:$H,MATCH($E503,Investment!$F:$F,0))),IFERROR(INDEX($R504:$R1119,MATCH(SUBSTITUTE($I503,"-","",1),$K504:$K1119,0)),INDEX($R504:$R1119,MATCH($K503,$K504:$K1119,0)))))</f>
        <v/>
      </c>
      <c r="S503" s="35" t="str">
        <f t="shared" si="2"/>
        <v/>
      </c>
      <c r="T503" s="37" t="str">
        <f t="shared" si="3"/>
        <v/>
      </c>
      <c r="U503" s="38" t="str">
        <f t="shared" si="4"/>
        <v/>
      </c>
      <c r="V503" s="31" t="str">
        <f t="shared" si="5"/>
        <v/>
      </c>
      <c r="W503" s="39" t="str">
        <f>IFERROR(__xludf.DUMMYFUNCTION(" IF(Account!$F503&lt;&gt;"""", SPLIT(Account!$F503, "" ""), """")"),"")</f>
        <v/>
      </c>
      <c r="X503" s="40"/>
      <c r="Y503" s="40"/>
      <c r="Z503" s="40"/>
      <c r="AA503" s="40"/>
      <c r="AB503" s="40"/>
      <c r="AC503" s="40"/>
      <c r="AD503" s="40"/>
      <c r="AE503" s="40"/>
      <c r="AF503" s="40"/>
      <c r="AG503" s="40"/>
      <c r="AH503" s="40"/>
      <c r="AI503" s="40"/>
      <c r="AJ503" s="40"/>
      <c r="AK503" s="40"/>
    </row>
    <row r="504">
      <c r="A504" s="10"/>
      <c r="B504" s="10"/>
      <c r="C504" s="10"/>
      <c r="D504" s="10"/>
      <c r="E504" s="10"/>
      <c r="F504" s="12"/>
      <c r="G504" s="10"/>
      <c r="H504" s="10"/>
      <c r="I504" s="10"/>
      <c r="J504" s="10"/>
      <c r="K504" s="10"/>
      <c r="L504" s="12"/>
      <c r="M504" s="29" t="str">
        <f t="shared" si="1"/>
        <v/>
      </c>
      <c r="N504" s="31" t="str">
        <f>IFERROR(__xludf.DUMMYFUNCTION("IF(Account!$F504&lt;&gt;"""", VALUE(REGEXREPLACE($I504, ""\,"", ""."")), """")"),"")</f>
        <v/>
      </c>
      <c r="O504" s="33" t="str">
        <f>IF(Account!$F504&lt;&gt;"", DATEVALUE(MID($A504,4,3) &amp; LEFT($A504,3) &amp; RIGHT($A504,4)) + TIMEVALUE($B504), "")</f>
        <v/>
      </c>
      <c r="P504" s="34" t="str">
        <f>IF(Account!$F504&lt;&gt;"", DATEVALUE(MID($C504,4,3) &amp; LEFT($C504,3) &amp; RIGHT($C504,4)), "")</f>
        <v/>
      </c>
      <c r="Q504" s="35" t="str">
        <f t="array" ref="Q504">IF($R504&lt;&gt;"",IFERROR(INDEX(Investment!$A:$A,MATCH($R504,Investment!$H:$H,0))),)</f>
        <v/>
      </c>
      <c r="R504" s="36" t="str">
        <f t="array" ref="R504">IF(AND($Y504="change",$H504="EUR"),IF(AND($AA504="Crédit",$O504=$O505),$R505,IF(AND($AA504="Débit",$O504=$O503),$R503)),IF(OR(AND(OR($E504&lt;&gt;"",$M504=""),$N504&lt;&gt;0),$A504=""),IFERROR(INDEX(Investment!$H:$H,MATCH($E504,Investment!$F:$F,0))),IFERROR(INDEX($R505:$R1119,MATCH(SUBSTITUTE($I504,"-","",1),$K505:$K1119,0)),INDEX($R505:$R1119,MATCH($K504,$K505:$K1119,0)))))</f>
        <v/>
      </c>
      <c r="S504" s="35" t="str">
        <f t="shared" si="2"/>
        <v/>
      </c>
      <c r="T504" s="37" t="str">
        <f t="shared" si="3"/>
        <v/>
      </c>
      <c r="U504" s="38" t="str">
        <f t="shared" si="4"/>
        <v/>
      </c>
      <c r="V504" s="31" t="str">
        <f t="shared" si="5"/>
        <v/>
      </c>
      <c r="W504" s="39" t="str">
        <f>IFERROR(__xludf.DUMMYFUNCTION(" IF(Account!$F504&lt;&gt;"""", SPLIT(Account!$F504, "" ""), """")"),"")</f>
        <v/>
      </c>
      <c r="X504" s="40"/>
      <c r="Y504" s="40"/>
      <c r="Z504" s="40"/>
      <c r="AA504" s="40"/>
      <c r="AB504" s="40"/>
      <c r="AC504" s="40"/>
      <c r="AD504" s="40"/>
      <c r="AE504" s="40"/>
      <c r="AF504" s="40"/>
      <c r="AG504" s="40"/>
      <c r="AH504" s="40"/>
      <c r="AI504" s="40"/>
      <c r="AJ504" s="40"/>
      <c r="AK504" s="40"/>
    </row>
    <row r="505">
      <c r="A505" s="10"/>
      <c r="B505" s="10"/>
      <c r="C505" s="10"/>
      <c r="D505" s="10"/>
      <c r="E505" s="10"/>
      <c r="F505" s="12"/>
      <c r="G505" s="300"/>
      <c r="H505" s="10"/>
      <c r="I505" s="10"/>
      <c r="J505" s="10"/>
      <c r="K505" s="10"/>
      <c r="L505" s="12"/>
      <c r="M505" s="29" t="str">
        <f t="shared" si="1"/>
        <v/>
      </c>
      <c r="N505" s="31" t="str">
        <f>IFERROR(__xludf.DUMMYFUNCTION("IF(Account!$F505&lt;&gt;"""", VALUE(REGEXREPLACE($I505, ""\,"", ""."")), """")"),"")</f>
        <v/>
      </c>
      <c r="O505" s="33" t="str">
        <f>IF(Account!$F505&lt;&gt;"", DATEVALUE(MID($A505,4,3) &amp; LEFT($A505,3) &amp; RIGHT($A505,4)) + TIMEVALUE($B505), "")</f>
        <v/>
      </c>
      <c r="P505" s="34" t="str">
        <f>IF(Account!$F505&lt;&gt;"", DATEVALUE(MID($C505,4,3) &amp; LEFT($C505,3) &amp; RIGHT($C505,4)), "")</f>
        <v/>
      </c>
      <c r="Q505" s="35" t="str">
        <f t="array" ref="Q505">IF($R505&lt;&gt;"",IFERROR(INDEX(Investment!$A:$A,MATCH($R505,Investment!$H:$H,0))),)</f>
        <v/>
      </c>
      <c r="R505" s="36" t="str">
        <f t="array" ref="R505">IF(AND($Y505="change",$H505="EUR"),IF(AND($AA505="Crédit",$O505=$O506),$R506,IF(AND($AA505="Débit",$O505=$O504),$R504)),IF(OR(AND(OR($E505&lt;&gt;"",$M505=""),$N505&lt;&gt;0),$A505=""),IFERROR(INDEX(Investment!$H:$H,MATCH($E505,Investment!$F:$F,0))),IFERROR(INDEX($R506:$R1119,MATCH(SUBSTITUTE($I505,"-","",1),$K506:$K1119,0)),INDEX($R506:$R1119,MATCH($K505,$K506:$K1119,0)))))</f>
        <v/>
      </c>
      <c r="S505" s="35" t="str">
        <f t="shared" si="2"/>
        <v/>
      </c>
      <c r="T505" s="37" t="str">
        <f t="shared" si="3"/>
        <v/>
      </c>
      <c r="U505" s="38" t="str">
        <f t="shared" si="4"/>
        <v/>
      </c>
      <c r="V505" s="31" t="str">
        <f t="shared" si="5"/>
        <v/>
      </c>
      <c r="W505" s="39" t="str">
        <f>IFERROR(__xludf.DUMMYFUNCTION(" IF(Account!$F505&lt;&gt;"""", SPLIT(Account!$F505, "" ""), """")"),"")</f>
        <v/>
      </c>
      <c r="X505" s="40"/>
      <c r="Y505" s="40"/>
      <c r="Z505" s="40"/>
      <c r="AA505" s="40"/>
      <c r="AB505" s="40"/>
      <c r="AC505" s="40"/>
      <c r="AD505" s="40"/>
      <c r="AE505" s="40"/>
      <c r="AF505" s="40"/>
      <c r="AG505" s="40"/>
      <c r="AH505" s="40"/>
      <c r="AI505" s="40"/>
      <c r="AJ505" s="40"/>
      <c r="AK505" s="40"/>
    </row>
    <row r="506">
      <c r="A506" s="10"/>
      <c r="B506" s="10"/>
      <c r="C506" s="10"/>
      <c r="D506" s="10"/>
      <c r="E506" s="10"/>
      <c r="F506" s="12"/>
      <c r="G506" s="10"/>
      <c r="H506" s="10"/>
      <c r="I506" s="10"/>
      <c r="J506" s="10"/>
      <c r="K506" s="10"/>
      <c r="L506" s="12"/>
      <c r="M506" s="29" t="str">
        <f t="shared" si="1"/>
        <v/>
      </c>
      <c r="N506" s="31" t="str">
        <f>IFERROR(__xludf.DUMMYFUNCTION("IF(Account!$F506&lt;&gt;"""", VALUE(REGEXREPLACE($I506, ""\,"", ""."")), """")"),"")</f>
        <v/>
      </c>
      <c r="O506" s="33" t="str">
        <f>IF(Account!$F506&lt;&gt;"", DATEVALUE(MID($A506,4,3) &amp; LEFT($A506,3) &amp; RIGHT($A506,4)) + TIMEVALUE($B506), "")</f>
        <v/>
      </c>
      <c r="P506" s="34" t="str">
        <f>IF(Account!$F506&lt;&gt;"", DATEVALUE(MID($C506,4,3) &amp; LEFT($C506,3) &amp; RIGHT($C506,4)), "")</f>
        <v/>
      </c>
      <c r="Q506" s="35" t="str">
        <f t="array" ref="Q506">IF($R506&lt;&gt;"",IFERROR(INDEX(Investment!$A:$A,MATCH($R506,Investment!$H:$H,0))),)</f>
        <v/>
      </c>
      <c r="R506" s="36" t="str">
        <f t="array" ref="R506">IF(AND($Y506="change",$H506="EUR"),IF(AND($AA506="Crédit",$O506=$O507),$R507,IF(AND($AA506="Débit",$O506=$O505),$R505)),IF(OR(AND(OR($E506&lt;&gt;"",$M506=""),$N506&lt;&gt;0),$A506=""),IFERROR(INDEX(Investment!$H:$H,MATCH($E506,Investment!$F:$F,0))),IFERROR(INDEX($R507:$R1119,MATCH(SUBSTITUTE($I506,"-","",1),$K507:$K1119,0)),INDEX($R507:$R1119,MATCH($K506,$K507:$K1119,0)))))</f>
        <v/>
      </c>
      <c r="S506" s="35" t="str">
        <f t="shared" si="2"/>
        <v/>
      </c>
      <c r="T506" s="37" t="str">
        <f t="shared" si="3"/>
        <v/>
      </c>
      <c r="U506" s="38" t="str">
        <f t="shared" si="4"/>
        <v/>
      </c>
      <c r="V506" s="31" t="str">
        <f t="shared" si="5"/>
        <v/>
      </c>
      <c r="W506" s="39" t="str">
        <f>IFERROR(__xludf.DUMMYFUNCTION(" IF(Account!$F506&lt;&gt;"""", SPLIT(Account!$F506, "" ""), """")"),"")</f>
        <v/>
      </c>
      <c r="X506" s="40"/>
      <c r="Y506" s="40"/>
      <c r="Z506" s="40"/>
      <c r="AA506" s="40"/>
      <c r="AB506" s="40"/>
      <c r="AC506" s="40"/>
      <c r="AD506" s="40"/>
      <c r="AE506" s="40"/>
      <c r="AF506" s="40"/>
      <c r="AG506" s="40"/>
      <c r="AH506" s="40"/>
      <c r="AI506" s="40"/>
      <c r="AJ506" s="40"/>
      <c r="AK506" s="40"/>
    </row>
    <row r="507">
      <c r="A507" s="10"/>
      <c r="B507" s="10"/>
      <c r="C507" s="10"/>
      <c r="D507" s="10"/>
      <c r="E507" s="10"/>
      <c r="F507" s="12"/>
      <c r="G507" s="300"/>
      <c r="H507" s="10"/>
      <c r="I507" s="10"/>
      <c r="J507" s="10"/>
      <c r="K507" s="10"/>
      <c r="L507" s="12"/>
      <c r="M507" s="29" t="str">
        <f t="shared" si="1"/>
        <v/>
      </c>
      <c r="N507" s="31" t="str">
        <f>IFERROR(__xludf.DUMMYFUNCTION("IF(Account!$F507&lt;&gt;"""", VALUE(REGEXREPLACE($I507, ""\,"", ""."")), """")"),"")</f>
        <v/>
      </c>
      <c r="O507" s="33" t="str">
        <f>IF(Account!$F507&lt;&gt;"", DATEVALUE(MID($A507,4,3) &amp; LEFT($A507,3) &amp; RIGHT($A507,4)) + TIMEVALUE($B507), "")</f>
        <v/>
      </c>
      <c r="P507" s="34" t="str">
        <f>IF(Account!$F507&lt;&gt;"", DATEVALUE(MID($C507,4,3) &amp; LEFT($C507,3) &amp; RIGHT($C507,4)), "")</f>
        <v/>
      </c>
      <c r="Q507" s="35" t="str">
        <f t="array" ref="Q507">IF($R507&lt;&gt;"",IFERROR(INDEX(Investment!$A:$A,MATCH($R507,Investment!$H:$H,0))),)</f>
        <v/>
      </c>
      <c r="R507" s="36" t="str">
        <f t="array" ref="R507">IF(AND($Y507="change",$H507="EUR"),IF(AND($AA507="Crédit",$O507=$O508),$R508,IF(AND($AA507="Débit",$O507=$O506),$R506)),IF(OR(AND(OR($E507&lt;&gt;"",$M507=""),$N507&lt;&gt;0),$A507=""),IFERROR(INDEX(Investment!$H:$H,MATCH($E507,Investment!$F:$F,0))),IFERROR(INDEX($R508:$R1119,MATCH(SUBSTITUTE($I507,"-","",1),$K508:$K1119,0)),INDEX($R508:$R1119,MATCH($K507,$K508:$K1119,0)))))</f>
        <v/>
      </c>
      <c r="S507" s="35" t="str">
        <f t="shared" si="2"/>
        <v/>
      </c>
      <c r="T507" s="37" t="str">
        <f t="shared" si="3"/>
        <v/>
      </c>
      <c r="U507" s="38" t="str">
        <f t="shared" si="4"/>
        <v/>
      </c>
      <c r="V507" s="31" t="str">
        <f t="shared" si="5"/>
        <v/>
      </c>
      <c r="W507" s="39" t="str">
        <f>IFERROR(__xludf.DUMMYFUNCTION(" IF(Account!$F507&lt;&gt;"""", SPLIT(Account!$F507, "" ""), """")"),"")</f>
        <v/>
      </c>
      <c r="X507" s="40"/>
      <c r="Y507" s="40"/>
      <c r="Z507" s="40"/>
      <c r="AA507" s="40"/>
      <c r="AB507" s="40"/>
      <c r="AC507" s="40"/>
      <c r="AD507" s="40"/>
      <c r="AE507" s="40"/>
      <c r="AF507" s="40"/>
      <c r="AG507" s="40"/>
      <c r="AH507" s="40"/>
      <c r="AI507" s="40"/>
      <c r="AJ507" s="40"/>
      <c r="AK507" s="40"/>
    </row>
    <row r="508">
      <c r="A508" s="10"/>
      <c r="B508" s="10"/>
      <c r="C508" s="10"/>
      <c r="D508" s="10"/>
      <c r="E508" s="10"/>
      <c r="F508" s="12"/>
      <c r="G508" s="300"/>
      <c r="H508" s="10"/>
      <c r="I508" s="10"/>
      <c r="J508" s="10"/>
      <c r="K508" s="10"/>
      <c r="L508" s="12"/>
      <c r="M508" s="29" t="str">
        <f t="shared" si="1"/>
        <v/>
      </c>
      <c r="N508" s="31" t="str">
        <f>IFERROR(__xludf.DUMMYFUNCTION("IF(Account!$F508&lt;&gt;"""", VALUE(REGEXREPLACE($I508, ""\,"", ""."")), """")"),"")</f>
        <v/>
      </c>
      <c r="O508" s="33" t="str">
        <f>IF(Account!$F508&lt;&gt;"", DATEVALUE(MID($A508,4,3) &amp; LEFT($A508,3) &amp; RIGHT($A508,4)) + TIMEVALUE($B508), "")</f>
        <v/>
      </c>
      <c r="P508" s="34" t="str">
        <f>IF(Account!$F508&lt;&gt;"", DATEVALUE(MID($C508,4,3) &amp; LEFT($C508,3) &amp; RIGHT($C508,4)), "")</f>
        <v/>
      </c>
      <c r="Q508" s="35" t="str">
        <f t="array" ref="Q508">IF($R508&lt;&gt;"",IFERROR(INDEX(Investment!$A:$A,MATCH($R508,Investment!$H:$H,0))),)</f>
        <v/>
      </c>
      <c r="R508" s="36" t="str">
        <f t="array" ref="R508">IF(AND($Y508="change",$H508="EUR"),IF(AND($AA508="Crédit",$O508=$O509),$R509,IF(AND($AA508="Débit",$O508=$O507),$R507)),IF(OR(AND(OR($E508&lt;&gt;"",$M508=""),$N508&lt;&gt;0),$A508=""),IFERROR(INDEX(Investment!$H:$H,MATCH($E508,Investment!$F:$F,0))),IFERROR(INDEX($R509:$R1119,MATCH(SUBSTITUTE($I508,"-","",1),$K509:$K1119,0)),INDEX($R509:$R1119,MATCH($K508,$K509:$K1119,0)))))</f>
        <v/>
      </c>
      <c r="S508" s="35" t="str">
        <f t="shared" si="2"/>
        <v/>
      </c>
      <c r="T508" s="37" t="str">
        <f t="shared" si="3"/>
        <v/>
      </c>
      <c r="U508" s="38" t="str">
        <f t="shared" si="4"/>
        <v/>
      </c>
      <c r="V508" s="31" t="str">
        <f t="shared" si="5"/>
        <v/>
      </c>
      <c r="W508" s="39" t="str">
        <f>IFERROR(__xludf.DUMMYFUNCTION(" IF(Account!$F508&lt;&gt;"""", SPLIT(Account!$F508, "" ""), """")"),"")</f>
        <v/>
      </c>
      <c r="X508" s="40"/>
      <c r="Y508" s="40"/>
      <c r="Z508" s="40"/>
      <c r="AA508" s="40"/>
      <c r="AB508" s="40"/>
      <c r="AC508" s="40"/>
      <c r="AD508" s="40"/>
      <c r="AE508" s="40"/>
      <c r="AF508" s="40"/>
      <c r="AG508" s="40"/>
      <c r="AH508" s="40"/>
      <c r="AI508" s="40"/>
      <c r="AJ508" s="40"/>
      <c r="AK508" s="40"/>
    </row>
    <row r="509">
      <c r="A509" s="10"/>
      <c r="B509" s="10"/>
      <c r="C509" s="10"/>
      <c r="D509" s="10"/>
      <c r="E509" s="10"/>
      <c r="F509" s="12"/>
      <c r="G509" s="300"/>
      <c r="H509" s="10"/>
      <c r="I509" s="10"/>
      <c r="J509" s="10"/>
      <c r="K509" s="10"/>
      <c r="L509" s="12"/>
      <c r="M509" s="29" t="str">
        <f t="shared" si="1"/>
        <v/>
      </c>
      <c r="N509" s="31" t="str">
        <f>IFERROR(__xludf.DUMMYFUNCTION("IF(Account!$F509&lt;&gt;"""", VALUE(REGEXREPLACE($I509, ""\,"", ""."")), """")"),"")</f>
        <v/>
      </c>
      <c r="O509" s="33" t="str">
        <f>IF(Account!$F509&lt;&gt;"", DATEVALUE(MID($A509,4,3) &amp; LEFT($A509,3) &amp; RIGHT($A509,4)) + TIMEVALUE($B509), "")</f>
        <v/>
      </c>
      <c r="P509" s="34" t="str">
        <f>IF(Account!$F509&lt;&gt;"", DATEVALUE(MID($C509,4,3) &amp; LEFT($C509,3) &amp; RIGHT($C509,4)), "")</f>
        <v/>
      </c>
      <c r="Q509" s="35" t="str">
        <f t="array" ref="Q509">IF($R509&lt;&gt;"",IFERROR(INDEX(Investment!$A:$A,MATCH($R509,Investment!$H:$H,0))),)</f>
        <v/>
      </c>
      <c r="R509" s="36" t="str">
        <f t="array" ref="R509">IF(AND($Y509="change",$H509="EUR"),IF(AND($AA509="Crédit",$O509=$O510),$R510,IF(AND($AA509="Débit",$O509=$O508),$R508)),IF(OR(AND(OR($E509&lt;&gt;"",$M509=""),$N509&lt;&gt;0),$A509=""),IFERROR(INDEX(Investment!$H:$H,MATCH($E509,Investment!$F:$F,0))),IFERROR(INDEX($R510:$R1119,MATCH(SUBSTITUTE($I509,"-","",1),$K510:$K1119,0)),INDEX($R510:$R1119,MATCH($K509,$K510:$K1119,0)))))</f>
        <v/>
      </c>
      <c r="S509" s="35" t="str">
        <f t="shared" si="2"/>
        <v/>
      </c>
      <c r="T509" s="37" t="str">
        <f t="shared" si="3"/>
        <v/>
      </c>
      <c r="U509" s="38" t="str">
        <f t="shared" si="4"/>
        <v/>
      </c>
      <c r="V509" s="31" t="str">
        <f t="shared" si="5"/>
        <v/>
      </c>
      <c r="W509" s="39" t="str">
        <f>IFERROR(__xludf.DUMMYFUNCTION(" IF(Account!$F509&lt;&gt;"""", SPLIT(Account!$F509, "" ""), """")"),"")</f>
        <v/>
      </c>
      <c r="X509" s="40"/>
      <c r="Y509" s="40"/>
      <c r="Z509" s="40"/>
      <c r="AA509" s="40"/>
      <c r="AB509" s="40"/>
      <c r="AC509" s="40"/>
      <c r="AD509" s="40"/>
      <c r="AE509" s="40"/>
      <c r="AF509" s="40"/>
      <c r="AG509" s="40"/>
      <c r="AH509" s="40"/>
      <c r="AI509" s="40"/>
      <c r="AJ509" s="40"/>
      <c r="AK509" s="40"/>
    </row>
    <row r="510">
      <c r="A510" s="10"/>
      <c r="B510" s="10"/>
      <c r="C510" s="10"/>
      <c r="D510" s="10"/>
      <c r="E510" s="10"/>
      <c r="F510" s="12"/>
      <c r="G510" s="10"/>
      <c r="H510" s="10"/>
      <c r="I510" s="10"/>
      <c r="J510" s="10"/>
      <c r="K510" s="10"/>
      <c r="L510" s="12"/>
      <c r="M510" s="29" t="str">
        <f t="shared" si="1"/>
        <v/>
      </c>
      <c r="N510" s="31" t="str">
        <f>IFERROR(__xludf.DUMMYFUNCTION("IF(Account!$F510&lt;&gt;"""", VALUE(REGEXREPLACE($I510, ""\,"", ""."")), """")"),"")</f>
        <v/>
      </c>
      <c r="O510" s="33" t="str">
        <f>IF(Account!$F510&lt;&gt;"", DATEVALUE(MID($A510,4,3) &amp; LEFT($A510,3) &amp; RIGHT($A510,4)) + TIMEVALUE($B510), "")</f>
        <v/>
      </c>
      <c r="P510" s="34" t="str">
        <f>IF(Account!$F510&lt;&gt;"", DATEVALUE(MID($C510,4,3) &amp; LEFT($C510,3) &amp; RIGHT($C510,4)), "")</f>
        <v/>
      </c>
      <c r="Q510" s="35" t="str">
        <f t="array" ref="Q510">IF($R510&lt;&gt;"",IFERROR(INDEX(Investment!$A:$A,MATCH($R510,Investment!$H:$H,0))),)</f>
        <v/>
      </c>
      <c r="R510" s="36" t="str">
        <f t="array" ref="R510">IF(AND($Y510="change",$H510="EUR"),IF(AND($AA510="Crédit",$O510=$O511),$R511,IF(AND($AA510="Débit",$O510=$O509),$R509)),IF(OR(AND(OR($E510&lt;&gt;"",$M510=""),$N510&lt;&gt;0),$A510=""),IFERROR(INDEX(Investment!$H:$H,MATCH($E510,Investment!$F:$F,0))),IFERROR(INDEX($R511:$R1119,MATCH(SUBSTITUTE($I510,"-","",1),$K511:$K1119,0)),INDEX($R511:$R1119,MATCH($K510,$K511:$K1119,0)))))</f>
        <v/>
      </c>
      <c r="S510" s="35" t="str">
        <f t="shared" si="2"/>
        <v/>
      </c>
      <c r="T510" s="37" t="str">
        <f t="shared" si="3"/>
        <v/>
      </c>
      <c r="U510" s="38" t="str">
        <f t="shared" si="4"/>
        <v/>
      </c>
      <c r="V510" s="31" t="str">
        <f t="shared" si="5"/>
        <v/>
      </c>
      <c r="W510" s="39" t="str">
        <f>IFERROR(__xludf.DUMMYFUNCTION(" IF(Account!$F510&lt;&gt;"""", SPLIT(Account!$F510, "" ""), """")"),"")</f>
        <v/>
      </c>
      <c r="X510" s="40"/>
      <c r="Y510" s="40"/>
      <c r="Z510" s="40"/>
      <c r="AA510" s="40"/>
      <c r="AB510" s="40"/>
      <c r="AC510" s="40"/>
      <c r="AD510" s="40"/>
      <c r="AE510" s="40"/>
      <c r="AF510" s="40"/>
      <c r="AG510" s="40"/>
      <c r="AH510" s="40"/>
      <c r="AI510" s="40"/>
      <c r="AJ510" s="40"/>
      <c r="AK510" s="40"/>
    </row>
    <row r="511">
      <c r="A511" s="10"/>
      <c r="B511" s="10"/>
      <c r="C511" s="10"/>
      <c r="D511" s="10"/>
      <c r="E511" s="10"/>
      <c r="F511" s="12"/>
      <c r="G511" s="300"/>
      <c r="H511" s="10"/>
      <c r="I511" s="10"/>
      <c r="J511" s="10"/>
      <c r="K511" s="10"/>
      <c r="L511" s="12"/>
      <c r="M511" s="29" t="str">
        <f t="shared" si="1"/>
        <v/>
      </c>
      <c r="N511" s="31" t="str">
        <f>IFERROR(__xludf.DUMMYFUNCTION("IF(Account!$F511&lt;&gt;"""", VALUE(REGEXREPLACE($I511, ""\,"", ""."")), """")"),"")</f>
        <v/>
      </c>
      <c r="O511" s="33" t="str">
        <f>IF(Account!$F511&lt;&gt;"", DATEVALUE(MID($A511,4,3) &amp; LEFT($A511,3) &amp; RIGHT($A511,4)) + TIMEVALUE($B511), "")</f>
        <v/>
      </c>
      <c r="P511" s="34" t="str">
        <f>IF(Account!$F511&lt;&gt;"", DATEVALUE(MID($C511,4,3) &amp; LEFT($C511,3) &amp; RIGHT($C511,4)), "")</f>
        <v/>
      </c>
      <c r="Q511" s="35" t="str">
        <f t="array" ref="Q511">IF($R511&lt;&gt;"",IFERROR(INDEX(Investment!$A:$A,MATCH($R511,Investment!$H:$H,0))),)</f>
        <v/>
      </c>
      <c r="R511" s="36" t="str">
        <f t="array" ref="R511">IF(AND($Y511="change",$H511="EUR"),IF(AND($AA511="Crédit",$O511=$O512),$R512,IF(AND($AA511="Débit",$O511=$O510),$R510)),IF(OR(AND(OR($E511&lt;&gt;"",$M511=""),$N511&lt;&gt;0),$A511=""),IFERROR(INDEX(Investment!$H:$H,MATCH($E511,Investment!$F:$F,0))),IFERROR(INDEX($R512:$R1119,MATCH(SUBSTITUTE($I511,"-","",1),$K512:$K1119,0)),INDEX($R512:$R1119,MATCH($K511,$K512:$K1119,0)))))</f>
        <v/>
      </c>
      <c r="S511" s="35" t="str">
        <f t="shared" si="2"/>
        <v/>
      </c>
      <c r="T511" s="37" t="str">
        <f t="shared" si="3"/>
        <v/>
      </c>
      <c r="U511" s="38" t="str">
        <f t="shared" si="4"/>
        <v/>
      </c>
      <c r="V511" s="31" t="str">
        <f t="shared" si="5"/>
        <v/>
      </c>
      <c r="W511" s="39" t="str">
        <f>IFERROR(__xludf.DUMMYFUNCTION(" IF(Account!$F511&lt;&gt;"""", SPLIT(Account!$F511, "" ""), """")"),"")</f>
        <v/>
      </c>
      <c r="X511" s="40"/>
      <c r="Y511" s="40"/>
      <c r="Z511" s="40"/>
      <c r="AA511" s="40"/>
      <c r="AB511" s="40"/>
      <c r="AC511" s="40"/>
      <c r="AD511" s="40"/>
      <c r="AE511" s="40"/>
      <c r="AF511" s="40"/>
      <c r="AG511" s="40"/>
      <c r="AH511" s="40"/>
      <c r="AI511" s="40"/>
      <c r="AJ511" s="40"/>
      <c r="AK511" s="40"/>
    </row>
    <row r="512">
      <c r="A512" s="10"/>
      <c r="B512" s="10"/>
      <c r="C512" s="10"/>
      <c r="D512" s="10"/>
      <c r="E512" s="10"/>
      <c r="F512" s="12"/>
      <c r="G512" s="10"/>
      <c r="H512" s="10"/>
      <c r="I512" s="10"/>
      <c r="J512" s="10"/>
      <c r="K512" s="10"/>
      <c r="L512" s="12"/>
      <c r="M512" s="29" t="str">
        <f t="shared" si="1"/>
        <v/>
      </c>
      <c r="N512" s="31" t="str">
        <f>IFERROR(__xludf.DUMMYFUNCTION("IF(Account!$F512&lt;&gt;"""", VALUE(REGEXREPLACE($I512, ""\,"", ""."")), """")"),"")</f>
        <v/>
      </c>
      <c r="O512" s="33" t="str">
        <f>IF(Account!$F512&lt;&gt;"", DATEVALUE(MID($A512,4,3) &amp; LEFT($A512,3) &amp; RIGHT($A512,4)) + TIMEVALUE($B512), "")</f>
        <v/>
      </c>
      <c r="P512" s="34" t="str">
        <f>IF(Account!$F512&lt;&gt;"", DATEVALUE(MID($C512,4,3) &amp; LEFT($C512,3) &amp; RIGHT($C512,4)), "")</f>
        <v/>
      </c>
      <c r="Q512" s="35" t="str">
        <f t="array" ref="Q512">IF($R512&lt;&gt;"",IFERROR(INDEX(Investment!$A:$A,MATCH($R512,Investment!$H:$H,0))),)</f>
        <v/>
      </c>
      <c r="R512" s="36" t="str">
        <f t="array" ref="R512">IF(AND($Y512="change",$H512="EUR"),IF(AND($AA512="Crédit",$O512=$O513),$R513,IF(AND($AA512="Débit",$O512=$O511),$R511)),IF(OR(AND(OR($E512&lt;&gt;"",$M512=""),$N512&lt;&gt;0),$A512=""),IFERROR(INDEX(Investment!$H:$H,MATCH($E512,Investment!$F:$F,0))),IFERROR(INDEX($R513:$R1119,MATCH(SUBSTITUTE($I512,"-","",1),$K513:$K1119,0)),INDEX($R513:$R1119,MATCH($K512,$K513:$K1119,0)))))</f>
        <v/>
      </c>
      <c r="S512" s="35" t="str">
        <f t="shared" si="2"/>
        <v/>
      </c>
      <c r="T512" s="37" t="str">
        <f t="shared" si="3"/>
        <v/>
      </c>
      <c r="U512" s="38" t="str">
        <f t="shared" si="4"/>
        <v/>
      </c>
      <c r="V512" s="31" t="str">
        <f t="shared" si="5"/>
        <v/>
      </c>
      <c r="W512" s="39" t="str">
        <f>IFERROR(__xludf.DUMMYFUNCTION(" IF(Account!$F512&lt;&gt;"""", SPLIT(Account!$F512, "" ""), """")"),"")</f>
        <v/>
      </c>
      <c r="X512" s="40"/>
      <c r="Y512" s="40"/>
      <c r="Z512" s="40"/>
      <c r="AA512" s="40"/>
      <c r="AB512" s="40"/>
      <c r="AC512" s="40"/>
      <c r="AD512" s="40"/>
      <c r="AE512" s="40"/>
      <c r="AF512" s="40"/>
      <c r="AG512" s="40"/>
      <c r="AH512" s="40"/>
      <c r="AI512" s="40"/>
      <c r="AJ512" s="40"/>
      <c r="AK512" s="40"/>
    </row>
    <row r="513">
      <c r="A513" s="10"/>
      <c r="B513" s="10"/>
      <c r="C513" s="10"/>
      <c r="D513" s="10"/>
      <c r="E513" s="10"/>
      <c r="F513" s="12"/>
      <c r="G513" s="300"/>
      <c r="H513" s="10"/>
      <c r="I513" s="10"/>
      <c r="J513" s="10"/>
      <c r="K513" s="10"/>
      <c r="L513" s="12"/>
      <c r="M513" s="29" t="str">
        <f t="shared" si="1"/>
        <v/>
      </c>
      <c r="N513" s="31" t="str">
        <f>IFERROR(__xludf.DUMMYFUNCTION("IF(Account!$F513&lt;&gt;"""", VALUE(REGEXREPLACE($I513, ""\,"", ""."")), """")"),"")</f>
        <v/>
      </c>
      <c r="O513" s="33" t="str">
        <f>IF(Account!$F513&lt;&gt;"", DATEVALUE(MID($A513,4,3) &amp; LEFT($A513,3) &amp; RIGHT($A513,4)) + TIMEVALUE($B513), "")</f>
        <v/>
      </c>
      <c r="P513" s="34" t="str">
        <f>IF(Account!$F513&lt;&gt;"", DATEVALUE(MID($C513,4,3) &amp; LEFT($C513,3) &amp; RIGHT($C513,4)), "")</f>
        <v/>
      </c>
      <c r="Q513" s="35" t="str">
        <f t="array" ref="Q513">IF($R513&lt;&gt;"",IFERROR(INDEX(Investment!$A:$A,MATCH($R513,Investment!$H:$H,0))),)</f>
        <v/>
      </c>
      <c r="R513" s="36" t="str">
        <f t="array" ref="R513">IF(AND($Y513="change",$H513="EUR"),IF(AND($AA513="Crédit",$O513=$O514),$R514,IF(AND($AA513="Débit",$O513=$O512),$R512)),IF(OR(AND(OR($E513&lt;&gt;"",$M513=""),$N513&lt;&gt;0),$A513=""),IFERROR(INDEX(Investment!$H:$H,MATCH($E513,Investment!$F:$F,0))),IFERROR(INDEX($R514:$R1119,MATCH(SUBSTITUTE($I513,"-","",1),$K514:$K1119,0)),INDEX($R514:$R1119,MATCH($K513,$K514:$K1119,0)))))</f>
        <v/>
      </c>
      <c r="S513" s="35" t="str">
        <f t="shared" si="2"/>
        <v/>
      </c>
      <c r="T513" s="37" t="str">
        <f t="shared" si="3"/>
        <v/>
      </c>
      <c r="U513" s="38" t="str">
        <f t="shared" si="4"/>
        <v/>
      </c>
      <c r="V513" s="31" t="str">
        <f t="shared" si="5"/>
        <v/>
      </c>
      <c r="W513" s="39" t="str">
        <f>IFERROR(__xludf.DUMMYFUNCTION(" IF(Account!$F513&lt;&gt;"""", SPLIT(Account!$F513, "" ""), """")"),"")</f>
        <v/>
      </c>
      <c r="X513" s="40"/>
      <c r="Y513" s="40"/>
      <c r="Z513" s="40"/>
      <c r="AA513" s="40"/>
      <c r="AB513" s="40"/>
      <c r="AC513" s="40"/>
      <c r="AD513" s="40"/>
      <c r="AE513" s="40"/>
      <c r="AF513" s="40"/>
      <c r="AG513" s="40"/>
      <c r="AH513" s="40"/>
      <c r="AI513" s="40"/>
      <c r="AJ513" s="40"/>
      <c r="AK513" s="40"/>
    </row>
    <row r="514">
      <c r="A514" s="10"/>
      <c r="B514" s="10"/>
      <c r="C514" s="10"/>
      <c r="D514" s="10"/>
      <c r="E514" s="10"/>
      <c r="F514" s="12"/>
      <c r="G514" s="10"/>
      <c r="H514" s="10"/>
      <c r="I514" s="10"/>
      <c r="J514" s="10"/>
      <c r="K514" s="10"/>
      <c r="L514" s="12"/>
      <c r="M514" s="29" t="str">
        <f t="shared" si="1"/>
        <v/>
      </c>
      <c r="N514" s="31" t="str">
        <f>IFERROR(__xludf.DUMMYFUNCTION("IF(Account!$F514&lt;&gt;"""", VALUE(REGEXREPLACE($I514, ""\,"", ""."")), """")"),"")</f>
        <v/>
      </c>
      <c r="O514" s="33" t="str">
        <f>IF(Account!$F514&lt;&gt;"", DATEVALUE(MID($A514,4,3) &amp; LEFT($A514,3) &amp; RIGHT($A514,4)) + TIMEVALUE($B514), "")</f>
        <v/>
      </c>
      <c r="P514" s="34" t="str">
        <f>IF(Account!$F514&lt;&gt;"", DATEVALUE(MID($C514,4,3) &amp; LEFT($C514,3) &amp; RIGHT($C514,4)), "")</f>
        <v/>
      </c>
      <c r="Q514" s="35" t="str">
        <f t="array" ref="Q514">IF($R514&lt;&gt;"",IFERROR(INDEX(Investment!$A:$A,MATCH($R514,Investment!$H:$H,0))),)</f>
        <v/>
      </c>
      <c r="R514" s="36" t="str">
        <f t="array" ref="R514">IF(AND($Y514="change",$H514="EUR"),IF(AND($AA514="Crédit",$O514=$O515),$R515,IF(AND($AA514="Débit",$O514=$O513),$R513)),IF(OR(AND(OR($E514&lt;&gt;"",$M514=""),$N514&lt;&gt;0),$A514=""),IFERROR(INDEX(Investment!$H:$H,MATCH($E514,Investment!$F:$F,0))),IFERROR(INDEX($R515:$R1119,MATCH(SUBSTITUTE($I514,"-","",1),$K515:$K1119,0)),INDEX($R515:$R1119,MATCH($K514,$K515:$K1119,0)))))</f>
        <v/>
      </c>
      <c r="S514" s="35" t="str">
        <f t="shared" si="2"/>
        <v/>
      </c>
      <c r="T514" s="37" t="str">
        <f t="shared" si="3"/>
        <v/>
      </c>
      <c r="U514" s="38" t="str">
        <f t="shared" si="4"/>
        <v/>
      </c>
      <c r="V514" s="31" t="str">
        <f t="shared" si="5"/>
        <v/>
      </c>
      <c r="W514" s="39" t="str">
        <f>IFERROR(__xludf.DUMMYFUNCTION(" IF(Account!$F514&lt;&gt;"""", SPLIT(Account!$F514, "" ""), """")"),"")</f>
        <v/>
      </c>
      <c r="X514" s="40"/>
      <c r="Y514" s="40"/>
      <c r="Z514" s="40"/>
      <c r="AA514" s="40"/>
      <c r="AB514" s="40"/>
      <c r="AC514" s="40"/>
      <c r="AD514" s="40"/>
      <c r="AE514" s="40"/>
      <c r="AF514" s="40"/>
      <c r="AG514" s="40"/>
      <c r="AH514" s="40"/>
      <c r="AI514" s="40"/>
      <c r="AJ514" s="40"/>
      <c r="AK514" s="40"/>
    </row>
    <row r="515">
      <c r="A515" s="10"/>
      <c r="B515" s="10"/>
      <c r="C515" s="10"/>
      <c r="D515" s="10"/>
      <c r="E515" s="10"/>
      <c r="F515" s="12"/>
      <c r="G515" s="300"/>
      <c r="H515" s="10"/>
      <c r="I515" s="10"/>
      <c r="J515" s="10"/>
      <c r="K515" s="10"/>
      <c r="L515" s="12"/>
      <c r="M515" s="29" t="str">
        <f t="shared" si="1"/>
        <v/>
      </c>
      <c r="N515" s="31" t="str">
        <f>IFERROR(__xludf.DUMMYFUNCTION("IF(Account!$F515&lt;&gt;"""", VALUE(REGEXREPLACE($I515, ""\,"", ""."")), """")"),"")</f>
        <v/>
      </c>
      <c r="O515" s="33" t="str">
        <f>IF(Account!$F515&lt;&gt;"", DATEVALUE(MID($A515,4,3) &amp; LEFT($A515,3) &amp; RIGHT($A515,4)) + TIMEVALUE($B515), "")</f>
        <v/>
      </c>
      <c r="P515" s="34" t="str">
        <f>IF(Account!$F515&lt;&gt;"", DATEVALUE(MID($C515,4,3) &amp; LEFT($C515,3) &amp; RIGHT($C515,4)), "")</f>
        <v/>
      </c>
      <c r="Q515" s="35" t="str">
        <f t="array" ref="Q515">IF($R515&lt;&gt;"",IFERROR(INDEX(Investment!$A:$A,MATCH($R515,Investment!$H:$H,0))),)</f>
        <v/>
      </c>
      <c r="R515" s="36" t="str">
        <f t="array" ref="R515">IF(AND($Y515="change",$H515="EUR"),IF(AND($AA515="Crédit",$O515=$O516),$R516,IF(AND($AA515="Débit",$O515=$O514),$R514)),IF(OR(AND(OR($E515&lt;&gt;"",$M515=""),$N515&lt;&gt;0),$A515=""),IFERROR(INDEX(Investment!$H:$H,MATCH($E515,Investment!$F:$F,0))),IFERROR(INDEX($R516:$R1119,MATCH(SUBSTITUTE($I515,"-","",1),$K516:$K1119,0)),INDEX($R516:$R1119,MATCH($K515,$K516:$K1119,0)))))</f>
        <v/>
      </c>
      <c r="S515" s="35" t="str">
        <f t="shared" si="2"/>
        <v/>
      </c>
      <c r="T515" s="37" t="str">
        <f t="shared" si="3"/>
        <v/>
      </c>
      <c r="U515" s="38" t="str">
        <f t="shared" si="4"/>
        <v/>
      </c>
      <c r="V515" s="31" t="str">
        <f t="shared" si="5"/>
        <v/>
      </c>
      <c r="W515" s="39" t="str">
        <f>IFERROR(__xludf.DUMMYFUNCTION(" IF(Account!$F515&lt;&gt;"""", SPLIT(Account!$F515, "" ""), """")"),"")</f>
        <v/>
      </c>
      <c r="X515" s="40"/>
      <c r="Y515" s="40"/>
      <c r="Z515" s="40"/>
      <c r="AA515" s="40"/>
      <c r="AB515" s="40"/>
      <c r="AC515" s="40"/>
      <c r="AD515" s="40"/>
      <c r="AE515" s="40"/>
      <c r="AF515" s="40"/>
      <c r="AG515" s="40"/>
      <c r="AH515" s="40"/>
      <c r="AI515" s="40"/>
      <c r="AJ515" s="40"/>
      <c r="AK515" s="40"/>
    </row>
    <row r="516">
      <c r="A516" s="10"/>
      <c r="B516" s="10"/>
      <c r="C516" s="10"/>
      <c r="D516" s="10"/>
      <c r="E516" s="10"/>
      <c r="F516" s="12"/>
      <c r="G516" s="10"/>
      <c r="H516" s="10"/>
      <c r="I516" s="10"/>
      <c r="J516" s="10"/>
      <c r="K516" s="10"/>
      <c r="L516" s="12"/>
      <c r="M516" s="29" t="str">
        <f t="shared" si="1"/>
        <v/>
      </c>
      <c r="N516" s="31" t="str">
        <f>IFERROR(__xludf.DUMMYFUNCTION("IF(Account!$F516&lt;&gt;"""", VALUE(REGEXREPLACE($I516, ""\,"", ""."")), """")"),"")</f>
        <v/>
      </c>
      <c r="O516" s="33" t="str">
        <f>IF(Account!$F516&lt;&gt;"", DATEVALUE(MID($A516,4,3) &amp; LEFT($A516,3) &amp; RIGHT($A516,4)) + TIMEVALUE($B516), "")</f>
        <v/>
      </c>
      <c r="P516" s="34" t="str">
        <f>IF(Account!$F516&lt;&gt;"", DATEVALUE(MID($C516,4,3) &amp; LEFT($C516,3) &amp; RIGHT($C516,4)), "")</f>
        <v/>
      </c>
      <c r="Q516" s="35" t="str">
        <f t="array" ref="Q516">IF($R516&lt;&gt;"",IFERROR(INDEX(Investment!$A:$A,MATCH($R516,Investment!$H:$H,0))),)</f>
        <v/>
      </c>
      <c r="R516" s="36" t="str">
        <f t="array" ref="R516">IF(AND($Y516="change",$H516="EUR"),IF(AND($AA516="Crédit",$O516=$O517),$R517,IF(AND($AA516="Débit",$O516=$O515),$R515)),IF(OR(AND(OR($E516&lt;&gt;"",$M516=""),$N516&lt;&gt;0),$A516=""),IFERROR(INDEX(Investment!$H:$H,MATCH($E516,Investment!$F:$F,0))),IFERROR(INDEX($R517:$R1119,MATCH(SUBSTITUTE($I516,"-","",1),$K517:$K1119,0)),INDEX($R517:$R1119,MATCH($K516,$K517:$K1119,0)))))</f>
        <v/>
      </c>
      <c r="S516" s="35" t="str">
        <f t="shared" si="2"/>
        <v/>
      </c>
      <c r="T516" s="37" t="str">
        <f t="shared" si="3"/>
        <v/>
      </c>
      <c r="U516" s="38" t="str">
        <f t="shared" si="4"/>
        <v/>
      </c>
      <c r="V516" s="31" t="str">
        <f t="shared" si="5"/>
        <v/>
      </c>
      <c r="W516" s="39" t="str">
        <f>IFERROR(__xludf.DUMMYFUNCTION(" IF(Account!$F516&lt;&gt;"""", SPLIT(Account!$F516, "" ""), """")"),"")</f>
        <v/>
      </c>
      <c r="X516" s="40"/>
      <c r="Y516" s="40"/>
      <c r="Z516" s="40"/>
      <c r="AA516" s="40"/>
      <c r="AB516" s="40"/>
      <c r="AC516" s="40"/>
      <c r="AD516" s="40"/>
      <c r="AE516" s="40"/>
      <c r="AF516" s="40"/>
      <c r="AG516" s="40"/>
      <c r="AH516" s="40"/>
      <c r="AI516" s="40"/>
      <c r="AJ516" s="40"/>
      <c r="AK516" s="40"/>
    </row>
    <row r="517">
      <c r="A517" s="10"/>
      <c r="B517" s="10"/>
      <c r="C517" s="10"/>
      <c r="D517" s="10"/>
      <c r="E517" s="10"/>
      <c r="F517" s="12"/>
      <c r="G517" s="300"/>
      <c r="H517" s="10"/>
      <c r="I517" s="10"/>
      <c r="J517" s="10"/>
      <c r="K517" s="10"/>
      <c r="L517" s="12"/>
      <c r="M517" s="29" t="str">
        <f t="shared" si="1"/>
        <v/>
      </c>
      <c r="N517" s="31" t="str">
        <f>IFERROR(__xludf.DUMMYFUNCTION("IF(Account!$F517&lt;&gt;"""", VALUE(REGEXREPLACE($I517, ""\,"", ""."")), """")"),"")</f>
        <v/>
      </c>
      <c r="O517" s="33" t="str">
        <f>IF(Account!$F517&lt;&gt;"", DATEVALUE(MID($A517,4,3) &amp; LEFT($A517,3) &amp; RIGHT($A517,4)) + TIMEVALUE($B517), "")</f>
        <v/>
      </c>
      <c r="P517" s="34" t="str">
        <f>IF(Account!$F517&lt;&gt;"", DATEVALUE(MID($C517,4,3) &amp; LEFT($C517,3) &amp; RIGHT($C517,4)), "")</f>
        <v/>
      </c>
      <c r="Q517" s="35" t="str">
        <f t="array" ref="Q517">IF($R517&lt;&gt;"",IFERROR(INDEX(Investment!$A:$A,MATCH($R517,Investment!$H:$H,0))),)</f>
        <v/>
      </c>
      <c r="R517" s="36" t="str">
        <f t="array" ref="R517">IF(AND($Y517="change",$H517="EUR"),IF(AND($AA517="Crédit",$O517=$O518),$R518,IF(AND($AA517="Débit",$O517=$O516),$R516)),IF(OR(AND(OR($E517&lt;&gt;"",$M517=""),$N517&lt;&gt;0),$A517=""),IFERROR(INDEX(Investment!$H:$H,MATCH($E517,Investment!$F:$F,0))),IFERROR(INDEX($R518:$R1119,MATCH(SUBSTITUTE($I517,"-","",1),$K518:$K1119,0)),INDEX($R518:$R1119,MATCH($K517,$K518:$K1119,0)))))</f>
        <v/>
      </c>
      <c r="S517" s="35" t="str">
        <f t="shared" si="2"/>
        <v/>
      </c>
      <c r="T517" s="37" t="str">
        <f t="shared" si="3"/>
        <v/>
      </c>
      <c r="U517" s="38" t="str">
        <f t="shared" si="4"/>
        <v/>
      </c>
      <c r="V517" s="31" t="str">
        <f t="shared" si="5"/>
        <v/>
      </c>
      <c r="W517" s="39" t="str">
        <f>IFERROR(__xludf.DUMMYFUNCTION(" IF(Account!$F517&lt;&gt;"""", SPLIT(Account!$F517, "" ""), """")"),"")</f>
        <v/>
      </c>
      <c r="X517" s="40"/>
      <c r="Y517" s="40"/>
      <c r="Z517" s="40"/>
      <c r="AA517" s="40"/>
      <c r="AB517" s="40"/>
      <c r="AC517" s="40"/>
      <c r="AD517" s="40"/>
      <c r="AE517" s="40"/>
      <c r="AF517" s="40"/>
      <c r="AG517" s="40"/>
      <c r="AH517" s="40"/>
      <c r="AI517" s="40"/>
      <c r="AJ517" s="40"/>
      <c r="AK517" s="40"/>
    </row>
    <row r="518">
      <c r="A518" s="10"/>
      <c r="B518" s="10"/>
      <c r="C518" s="10"/>
      <c r="D518" s="10"/>
      <c r="E518" s="10"/>
      <c r="F518" s="12"/>
      <c r="G518" s="300"/>
      <c r="H518" s="10"/>
      <c r="I518" s="10"/>
      <c r="J518" s="10"/>
      <c r="K518" s="10"/>
      <c r="L518" s="12"/>
      <c r="M518" s="29" t="str">
        <f t="shared" si="1"/>
        <v/>
      </c>
      <c r="N518" s="31" t="str">
        <f>IFERROR(__xludf.DUMMYFUNCTION("IF(Account!$F518&lt;&gt;"""", VALUE(REGEXREPLACE($I518, ""\,"", ""."")), """")"),"")</f>
        <v/>
      </c>
      <c r="O518" s="33" t="str">
        <f>IF(Account!$F518&lt;&gt;"", DATEVALUE(MID($A518,4,3) &amp; LEFT($A518,3) &amp; RIGHT($A518,4)) + TIMEVALUE($B518), "")</f>
        <v/>
      </c>
      <c r="P518" s="34" t="str">
        <f>IF(Account!$F518&lt;&gt;"", DATEVALUE(MID($C518,4,3) &amp; LEFT($C518,3) &amp; RIGHT($C518,4)), "")</f>
        <v/>
      </c>
      <c r="Q518" s="35" t="str">
        <f t="array" ref="Q518">IF($R518&lt;&gt;"",IFERROR(INDEX(Investment!$A:$A,MATCH($R518,Investment!$H:$H,0))),)</f>
        <v/>
      </c>
      <c r="R518" s="36" t="str">
        <f t="array" ref="R518">IF(AND($Y518="change",$H518="EUR"),IF(AND($AA518="Crédit",$O518=$O519),$R519,IF(AND($AA518="Débit",$O518=$O517),$R517)),IF(OR(AND(OR($E518&lt;&gt;"",$M518=""),$N518&lt;&gt;0),$A518=""),IFERROR(INDEX(Investment!$H:$H,MATCH($E518,Investment!$F:$F,0))),IFERROR(INDEX($R519:$R1119,MATCH(SUBSTITUTE($I518,"-","",1),$K519:$K1119,0)),INDEX($R519:$R1119,MATCH($K518,$K519:$K1119,0)))))</f>
        <v/>
      </c>
      <c r="S518" s="35" t="str">
        <f t="shared" si="2"/>
        <v/>
      </c>
      <c r="T518" s="37" t="str">
        <f t="shared" si="3"/>
        <v/>
      </c>
      <c r="U518" s="38" t="str">
        <f t="shared" si="4"/>
        <v/>
      </c>
      <c r="V518" s="31" t="str">
        <f t="shared" si="5"/>
        <v/>
      </c>
      <c r="W518" s="39" t="str">
        <f>IFERROR(__xludf.DUMMYFUNCTION(" IF(Account!$F518&lt;&gt;"""", SPLIT(Account!$F518, "" ""), """")"),"")</f>
        <v/>
      </c>
      <c r="X518" s="40"/>
      <c r="Y518" s="40"/>
      <c r="Z518" s="40"/>
      <c r="AA518" s="40"/>
      <c r="AB518" s="40"/>
      <c r="AC518" s="40"/>
      <c r="AD518" s="40"/>
      <c r="AE518" s="40"/>
      <c r="AF518" s="40"/>
      <c r="AG518" s="40"/>
      <c r="AH518" s="40"/>
      <c r="AI518" s="40"/>
      <c r="AJ518" s="40"/>
      <c r="AK518" s="40"/>
    </row>
    <row r="519">
      <c r="A519" s="10"/>
      <c r="B519" s="10"/>
      <c r="C519" s="10"/>
      <c r="D519" s="10"/>
      <c r="E519" s="10"/>
      <c r="F519" s="12"/>
      <c r="G519" s="300"/>
      <c r="H519" s="10"/>
      <c r="I519" s="10"/>
      <c r="J519" s="10"/>
      <c r="K519" s="10"/>
      <c r="L519" s="12"/>
      <c r="M519" s="29" t="str">
        <f t="shared" si="1"/>
        <v/>
      </c>
      <c r="N519" s="31" t="str">
        <f>IFERROR(__xludf.DUMMYFUNCTION("IF(Account!$F519&lt;&gt;"""", VALUE(REGEXREPLACE($I519, ""\,"", ""."")), """")"),"")</f>
        <v/>
      </c>
      <c r="O519" s="33" t="str">
        <f>IF(Account!$F519&lt;&gt;"", DATEVALUE(MID($A519,4,3) &amp; LEFT($A519,3) &amp; RIGHT($A519,4)) + TIMEVALUE($B519), "")</f>
        <v/>
      </c>
      <c r="P519" s="34" t="str">
        <f>IF(Account!$F519&lt;&gt;"", DATEVALUE(MID($C519,4,3) &amp; LEFT($C519,3) &amp; RIGHT($C519,4)), "")</f>
        <v/>
      </c>
      <c r="Q519" s="35" t="str">
        <f t="array" ref="Q519">IF($R519&lt;&gt;"",IFERROR(INDEX(Investment!$A:$A,MATCH($R519,Investment!$H:$H,0))),)</f>
        <v/>
      </c>
      <c r="R519" s="36" t="str">
        <f t="array" ref="R519">IF(AND($Y519="change",$H519="EUR"),IF(AND($AA519="Crédit",$O519=$O520),$R520,IF(AND($AA519="Débit",$O519=$O518),$R518)),IF(OR(AND(OR($E519&lt;&gt;"",$M519=""),$N519&lt;&gt;0),$A519=""),IFERROR(INDEX(Investment!$H:$H,MATCH($E519,Investment!$F:$F,0))),IFERROR(INDEX($R520:$R1119,MATCH(SUBSTITUTE($I519,"-","",1),$K520:$K1119,0)),INDEX($R520:$R1119,MATCH($K519,$K520:$K1119,0)))))</f>
        <v/>
      </c>
      <c r="S519" s="35" t="str">
        <f t="shared" si="2"/>
        <v/>
      </c>
      <c r="T519" s="37" t="str">
        <f t="shared" si="3"/>
        <v/>
      </c>
      <c r="U519" s="38" t="str">
        <f t="shared" si="4"/>
        <v/>
      </c>
      <c r="V519" s="31" t="str">
        <f t="shared" si="5"/>
        <v/>
      </c>
      <c r="W519" s="39" t="str">
        <f>IFERROR(__xludf.DUMMYFUNCTION(" IF(Account!$F519&lt;&gt;"""", SPLIT(Account!$F519, "" ""), """")"),"")</f>
        <v/>
      </c>
      <c r="X519" s="40"/>
      <c r="Y519" s="40"/>
      <c r="Z519" s="40"/>
      <c r="AA519" s="40"/>
      <c r="AB519" s="40"/>
      <c r="AC519" s="40"/>
      <c r="AD519" s="40"/>
      <c r="AE519" s="40"/>
      <c r="AF519" s="40"/>
      <c r="AG519" s="40"/>
      <c r="AH519" s="40"/>
      <c r="AI519" s="40"/>
      <c r="AJ519" s="40"/>
      <c r="AK519" s="40"/>
    </row>
    <row r="520">
      <c r="A520" s="10"/>
      <c r="B520" s="10"/>
      <c r="C520" s="10"/>
      <c r="D520" s="10"/>
      <c r="E520" s="10"/>
      <c r="F520" s="12"/>
      <c r="G520" s="300"/>
      <c r="H520" s="10"/>
      <c r="I520" s="10"/>
      <c r="J520" s="10"/>
      <c r="K520" s="10"/>
      <c r="L520" s="12"/>
      <c r="M520" s="29" t="str">
        <f t="shared" si="1"/>
        <v/>
      </c>
      <c r="N520" s="31" t="str">
        <f>IFERROR(__xludf.DUMMYFUNCTION("IF(Account!$F520&lt;&gt;"""", VALUE(REGEXREPLACE($I520, ""\,"", ""."")), """")"),"")</f>
        <v/>
      </c>
      <c r="O520" s="33" t="str">
        <f>IF(Account!$F520&lt;&gt;"", DATEVALUE(MID($A520,4,3) &amp; LEFT($A520,3) &amp; RIGHT($A520,4)) + TIMEVALUE($B520), "")</f>
        <v/>
      </c>
      <c r="P520" s="34" t="str">
        <f>IF(Account!$F520&lt;&gt;"", DATEVALUE(MID($C520,4,3) &amp; LEFT($C520,3) &amp; RIGHT($C520,4)), "")</f>
        <v/>
      </c>
      <c r="Q520" s="35" t="str">
        <f t="array" ref="Q520">IF($R520&lt;&gt;"",IFERROR(INDEX(Investment!$A:$A,MATCH($R520,Investment!$H:$H,0))),)</f>
        <v/>
      </c>
      <c r="R520" s="36" t="str">
        <f t="array" ref="R520">IF(AND($Y520="change",$H520="EUR"),IF(AND($AA520="Crédit",$O520=$O521),$R521,IF(AND($AA520="Débit",$O520=$O519),$R519)),IF(OR(AND(OR($E520&lt;&gt;"",$M520=""),$N520&lt;&gt;0),$A520=""),IFERROR(INDEX(Investment!$H:$H,MATCH($E520,Investment!$F:$F,0))),IFERROR(INDEX($R521:$R1119,MATCH(SUBSTITUTE($I520,"-","",1),$K521:$K1119,0)),INDEX($R521:$R1119,MATCH($K520,$K521:$K1119,0)))))</f>
        <v/>
      </c>
      <c r="S520" s="35" t="str">
        <f t="shared" si="2"/>
        <v/>
      </c>
      <c r="T520" s="37" t="str">
        <f t="shared" si="3"/>
        <v/>
      </c>
      <c r="U520" s="38" t="str">
        <f t="shared" si="4"/>
        <v/>
      </c>
      <c r="V520" s="31" t="str">
        <f t="shared" si="5"/>
        <v/>
      </c>
      <c r="W520" s="39" t="str">
        <f>IFERROR(__xludf.DUMMYFUNCTION(" IF(Account!$F520&lt;&gt;"""", SPLIT(Account!$F520, "" ""), """")"),"")</f>
        <v/>
      </c>
      <c r="X520" s="40"/>
      <c r="Y520" s="40"/>
      <c r="Z520" s="40"/>
      <c r="AA520" s="40"/>
      <c r="AB520" s="40"/>
      <c r="AC520" s="40"/>
      <c r="AD520" s="40"/>
      <c r="AE520" s="40"/>
      <c r="AF520" s="40"/>
      <c r="AG520" s="40"/>
      <c r="AH520" s="40"/>
      <c r="AI520" s="40"/>
      <c r="AJ520" s="40"/>
      <c r="AK520" s="40"/>
    </row>
    <row r="521">
      <c r="A521" s="10"/>
      <c r="B521" s="10"/>
      <c r="C521" s="10"/>
      <c r="D521" s="10"/>
      <c r="E521" s="10"/>
      <c r="F521" s="12"/>
      <c r="G521" s="300"/>
      <c r="H521" s="10"/>
      <c r="I521" s="10"/>
      <c r="J521" s="10"/>
      <c r="K521" s="10"/>
      <c r="L521" s="12"/>
      <c r="M521" s="29" t="str">
        <f t="shared" si="1"/>
        <v/>
      </c>
      <c r="N521" s="31" t="str">
        <f>IFERROR(__xludf.DUMMYFUNCTION("IF(Account!$F521&lt;&gt;"""", VALUE(REGEXREPLACE($I521, ""\,"", ""."")), """")"),"")</f>
        <v/>
      </c>
      <c r="O521" s="33" t="str">
        <f>IF(Account!$F521&lt;&gt;"", DATEVALUE(MID($A521,4,3) &amp; LEFT($A521,3) &amp; RIGHT($A521,4)) + TIMEVALUE($B521), "")</f>
        <v/>
      </c>
      <c r="P521" s="34" t="str">
        <f>IF(Account!$F521&lt;&gt;"", DATEVALUE(MID($C521,4,3) &amp; LEFT($C521,3) &amp; RIGHT($C521,4)), "")</f>
        <v/>
      </c>
      <c r="Q521" s="35" t="str">
        <f t="array" ref="Q521">IF($R521&lt;&gt;"",IFERROR(INDEX(Investment!$A:$A,MATCH($R521,Investment!$H:$H,0))),)</f>
        <v/>
      </c>
      <c r="R521" s="36" t="str">
        <f t="array" ref="R521">IF(AND($Y521="change",$H521="EUR"),IF(AND($AA521="Crédit",$O521=$O522),$R522,IF(AND($AA521="Débit",$O521=$O520),$R520)),IF(OR(AND(OR($E521&lt;&gt;"",$M521=""),$N521&lt;&gt;0),$A521=""),IFERROR(INDEX(Investment!$H:$H,MATCH($E521,Investment!$F:$F,0))),IFERROR(INDEX($R522:$R1119,MATCH(SUBSTITUTE($I521,"-","",1),$K522:$K1119,0)),INDEX($R522:$R1119,MATCH($K521,$K522:$K1119,0)))))</f>
        <v/>
      </c>
      <c r="S521" s="35" t="str">
        <f t="shared" si="2"/>
        <v/>
      </c>
      <c r="T521" s="37" t="str">
        <f t="shared" si="3"/>
        <v/>
      </c>
      <c r="U521" s="38" t="str">
        <f t="shared" si="4"/>
        <v/>
      </c>
      <c r="V521" s="31" t="str">
        <f t="shared" si="5"/>
        <v/>
      </c>
      <c r="W521" s="39" t="str">
        <f>IFERROR(__xludf.DUMMYFUNCTION(" IF(Account!$F521&lt;&gt;"""", SPLIT(Account!$F521, "" ""), """")"),"")</f>
        <v/>
      </c>
      <c r="X521" s="40"/>
      <c r="Y521" s="40"/>
      <c r="Z521" s="40"/>
      <c r="AA521" s="40"/>
      <c r="AB521" s="40"/>
      <c r="AC521" s="40"/>
      <c r="AD521" s="40"/>
      <c r="AE521" s="40"/>
      <c r="AF521" s="40"/>
      <c r="AG521" s="40"/>
      <c r="AH521" s="40"/>
      <c r="AI521" s="40"/>
      <c r="AJ521" s="40"/>
      <c r="AK521" s="40"/>
    </row>
    <row r="522">
      <c r="A522" s="10"/>
      <c r="B522" s="10"/>
      <c r="C522" s="10"/>
      <c r="D522" s="10"/>
      <c r="E522" s="10"/>
      <c r="F522" s="12"/>
      <c r="G522" s="10"/>
      <c r="H522" s="10"/>
      <c r="I522" s="10"/>
      <c r="J522" s="10"/>
      <c r="K522" s="10"/>
      <c r="L522" s="12"/>
      <c r="M522" s="29" t="str">
        <f t="shared" si="1"/>
        <v/>
      </c>
      <c r="N522" s="31" t="str">
        <f>IFERROR(__xludf.DUMMYFUNCTION("IF(Account!$F522&lt;&gt;"""", VALUE(REGEXREPLACE($I522, ""\,"", ""."")), """")"),"")</f>
        <v/>
      </c>
      <c r="O522" s="33" t="str">
        <f>IF(Account!$F522&lt;&gt;"", DATEVALUE(MID($A522,4,3) &amp; LEFT($A522,3) &amp; RIGHT($A522,4)) + TIMEVALUE($B522), "")</f>
        <v/>
      </c>
      <c r="P522" s="34" t="str">
        <f>IF(Account!$F522&lt;&gt;"", DATEVALUE(MID($C522,4,3) &amp; LEFT($C522,3) &amp; RIGHT($C522,4)), "")</f>
        <v/>
      </c>
      <c r="Q522" s="35" t="str">
        <f t="array" ref="Q522">IF($R522&lt;&gt;"",IFERROR(INDEX(Investment!$A:$A,MATCH($R522,Investment!$H:$H,0))),)</f>
        <v/>
      </c>
      <c r="R522" s="36" t="str">
        <f t="array" ref="R522">IF(AND($Y522="change",$H522="EUR"),IF(AND($AA522="Crédit",$O522=$O523),$R523,IF(AND($AA522="Débit",$O522=$O521),$R521)),IF(OR(AND(OR($E522&lt;&gt;"",$M522=""),$N522&lt;&gt;0),$A522=""),IFERROR(INDEX(Investment!$H:$H,MATCH($E522,Investment!$F:$F,0))),IFERROR(INDEX($R523:$R1119,MATCH(SUBSTITUTE($I522,"-","",1),$K523:$K1119,0)),INDEX($R523:$R1119,MATCH($K522,$K523:$K1119,0)))))</f>
        <v/>
      </c>
      <c r="S522" s="35" t="str">
        <f t="shared" si="2"/>
        <v/>
      </c>
      <c r="T522" s="37" t="str">
        <f t="shared" si="3"/>
        <v/>
      </c>
      <c r="U522" s="38" t="str">
        <f t="shared" si="4"/>
        <v/>
      </c>
      <c r="V522" s="31" t="str">
        <f t="shared" si="5"/>
        <v/>
      </c>
      <c r="W522" s="39" t="str">
        <f>IFERROR(__xludf.DUMMYFUNCTION(" IF(Account!$F522&lt;&gt;"""", SPLIT(Account!$F522, "" ""), """")"),"")</f>
        <v/>
      </c>
      <c r="X522" s="40"/>
      <c r="Y522" s="40"/>
      <c r="Z522" s="40"/>
      <c r="AA522" s="40"/>
      <c r="AB522" s="40"/>
      <c r="AC522" s="40"/>
      <c r="AD522" s="40"/>
      <c r="AE522" s="40"/>
      <c r="AF522" s="40"/>
      <c r="AG522" s="40"/>
      <c r="AH522" s="40"/>
      <c r="AI522" s="40"/>
      <c r="AJ522" s="40"/>
      <c r="AK522" s="40"/>
    </row>
    <row r="523">
      <c r="A523" s="10"/>
      <c r="B523" s="10"/>
      <c r="C523" s="10"/>
      <c r="D523" s="10"/>
      <c r="E523" s="10"/>
      <c r="F523" s="12"/>
      <c r="G523" s="300"/>
      <c r="H523" s="10"/>
      <c r="I523" s="10"/>
      <c r="J523" s="10"/>
      <c r="K523" s="10"/>
      <c r="L523" s="12"/>
      <c r="M523" s="29" t="str">
        <f t="shared" si="1"/>
        <v/>
      </c>
      <c r="N523" s="31" t="str">
        <f>IFERROR(__xludf.DUMMYFUNCTION("IF(Account!$F523&lt;&gt;"""", VALUE(REGEXREPLACE($I523, ""\,"", ""."")), """")"),"")</f>
        <v/>
      </c>
      <c r="O523" s="33" t="str">
        <f>IF(Account!$F523&lt;&gt;"", DATEVALUE(MID($A523,4,3) &amp; LEFT($A523,3) &amp; RIGHT($A523,4)) + TIMEVALUE($B523), "")</f>
        <v/>
      </c>
      <c r="P523" s="34" t="str">
        <f>IF(Account!$F523&lt;&gt;"", DATEVALUE(MID($C523,4,3) &amp; LEFT($C523,3) &amp; RIGHT($C523,4)), "")</f>
        <v/>
      </c>
      <c r="Q523" s="35" t="str">
        <f t="array" ref="Q523">IF($R523&lt;&gt;"",IFERROR(INDEX(Investment!$A:$A,MATCH($R523,Investment!$H:$H,0))),)</f>
        <v/>
      </c>
      <c r="R523" s="36" t="str">
        <f t="array" ref="R523">IF(AND($Y523="change",$H523="EUR"),IF(AND($AA523="Crédit",$O523=$O524),$R524,IF(AND($AA523="Débit",$O523=$O522),$R522)),IF(OR(AND(OR($E523&lt;&gt;"",$M523=""),$N523&lt;&gt;0),$A523=""),IFERROR(INDEX(Investment!$H:$H,MATCH($E523,Investment!$F:$F,0))),IFERROR(INDEX($R524:$R1119,MATCH(SUBSTITUTE($I523,"-","",1),$K524:$K1119,0)),INDEX($R524:$R1119,MATCH($K523,$K524:$K1119,0)))))</f>
        <v/>
      </c>
      <c r="S523" s="35" t="str">
        <f t="shared" si="2"/>
        <v/>
      </c>
      <c r="T523" s="37" t="str">
        <f t="shared" si="3"/>
        <v/>
      </c>
      <c r="U523" s="38" t="str">
        <f t="shared" si="4"/>
        <v/>
      </c>
      <c r="V523" s="31" t="str">
        <f t="shared" si="5"/>
        <v/>
      </c>
      <c r="W523" s="39" t="str">
        <f>IFERROR(__xludf.DUMMYFUNCTION(" IF(Account!$F523&lt;&gt;"""", SPLIT(Account!$F523, "" ""), """")"),"")</f>
        <v/>
      </c>
      <c r="X523" s="40"/>
      <c r="Y523" s="40"/>
      <c r="Z523" s="40"/>
      <c r="AA523" s="40"/>
      <c r="AB523" s="40"/>
      <c r="AC523" s="40"/>
      <c r="AD523" s="40"/>
      <c r="AE523" s="40"/>
      <c r="AF523" s="40"/>
      <c r="AG523" s="40"/>
      <c r="AH523" s="40"/>
      <c r="AI523" s="40"/>
      <c r="AJ523" s="40"/>
      <c r="AK523" s="40"/>
    </row>
    <row r="524">
      <c r="A524" s="10"/>
      <c r="B524" s="10"/>
      <c r="C524" s="10"/>
      <c r="D524" s="10"/>
      <c r="E524" s="10"/>
      <c r="F524" s="12"/>
      <c r="G524" s="300"/>
      <c r="H524" s="10"/>
      <c r="I524" s="10"/>
      <c r="J524" s="10"/>
      <c r="K524" s="10"/>
      <c r="L524" s="12"/>
      <c r="M524" s="29" t="str">
        <f t="shared" si="1"/>
        <v/>
      </c>
      <c r="N524" s="31" t="str">
        <f>IFERROR(__xludf.DUMMYFUNCTION("IF(Account!$F524&lt;&gt;"""", VALUE(REGEXREPLACE($I524, ""\,"", ""."")), """")"),"")</f>
        <v/>
      </c>
      <c r="O524" s="33" t="str">
        <f>IF(Account!$F524&lt;&gt;"", DATEVALUE(MID($A524,4,3) &amp; LEFT($A524,3) &amp; RIGHT($A524,4)) + TIMEVALUE($B524), "")</f>
        <v/>
      </c>
      <c r="P524" s="34" t="str">
        <f>IF(Account!$F524&lt;&gt;"", DATEVALUE(MID($C524,4,3) &amp; LEFT($C524,3) &amp; RIGHT($C524,4)), "")</f>
        <v/>
      </c>
      <c r="Q524" s="35" t="str">
        <f t="array" ref="Q524">IF($R524&lt;&gt;"",IFERROR(INDEX(Investment!$A:$A,MATCH($R524,Investment!$H:$H,0))),)</f>
        <v/>
      </c>
      <c r="R524" s="36" t="str">
        <f t="array" ref="R524">IF(AND($Y524="change",$H524="EUR"),IF(AND($AA524="Crédit",$O524=$O525),$R525,IF(AND($AA524="Débit",$O524=$O523),$R523)),IF(OR(AND(OR($E524&lt;&gt;"",$M524=""),$N524&lt;&gt;0),$A524=""),IFERROR(INDEX(Investment!$H:$H,MATCH($E524,Investment!$F:$F,0))),IFERROR(INDEX($R525:$R1119,MATCH(SUBSTITUTE($I524,"-","",1),$K525:$K1119,0)),INDEX($R525:$R1119,MATCH($K524,$K525:$K1119,0)))))</f>
        <v/>
      </c>
      <c r="S524" s="35" t="str">
        <f t="shared" si="2"/>
        <v/>
      </c>
      <c r="T524" s="37" t="str">
        <f t="shared" si="3"/>
        <v/>
      </c>
      <c r="U524" s="38" t="str">
        <f t="shared" si="4"/>
        <v/>
      </c>
      <c r="V524" s="31" t="str">
        <f t="shared" si="5"/>
        <v/>
      </c>
      <c r="W524" s="39" t="str">
        <f>IFERROR(__xludf.DUMMYFUNCTION(" IF(Account!$F524&lt;&gt;"""", SPLIT(Account!$F524, "" ""), """")"),"")</f>
        <v/>
      </c>
      <c r="X524" s="40"/>
      <c r="Y524" s="40"/>
      <c r="Z524" s="40"/>
      <c r="AA524" s="40"/>
      <c r="AB524" s="40"/>
      <c r="AC524" s="40"/>
      <c r="AD524" s="40"/>
      <c r="AE524" s="40"/>
      <c r="AF524" s="40"/>
      <c r="AG524" s="40"/>
      <c r="AH524" s="40"/>
      <c r="AI524" s="40"/>
      <c r="AJ524" s="40"/>
      <c r="AK524" s="40"/>
    </row>
    <row r="525">
      <c r="A525" s="10"/>
      <c r="B525" s="10"/>
      <c r="C525" s="10"/>
      <c r="D525" s="10"/>
      <c r="E525" s="10"/>
      <c r="F525" s="12"/>
      <c r="G525" s="10"/>
      <c r="H525" s="10"/>
      <c r="I525" s="10"/>
      <c r="J525" s="10"/>
      <c r="K525" s="10"/>
      <c r="L525" s="12"/>
      <c r="M525" s="29" t="str">
        <f t="shared" si="1"/>
        <v/>
      </c>
      <c r="N525" s="31" t="str">
        <f>IFERROR(__xludf.DUMMYFUNCTION("IF(Account!$F525&lt;&gt;"""", VALUE(REGEXREPLACE($I525, ""\,"", ""."")), """")"),"")</f>
        <v/>
      </c>
      <c r="O525" s="33" t="str">
        <f>IF(Account!$F525&lt;&gt;"", DATEVALUE(MID($A525,4,3) &amp; LEFT($A525,3) &amp; RIGHT($A525,4)) + TIMEVALUE($B525), "")</f>
        <v/>
      </c>
      <c r="P525" s="34" t="str">
        <f>IF(Account!$F525&lt;&gt;"", DATEVALUE(MID($C525,4,3) &amp; LEFT($C525,3) &amp; RIGHT($C525,4)), "")</f>
        <v/>
      </c>
      <c r="Q525" s="35" t="str">
        <f t="array" ref="Q525">IF($R525&lt;&gt;"",IFERROR(INDEX(Investment!$A:$A,MATCH($R525,Investment!$H:$H,0))),)</f>
        <v/>
      </c>
      <c r="R525" s="36" t="str">
        <f t="array" ref="R525">IF(AND($Y525="change",$H525="EUR"),IF(AND($AA525="Crédit",$O525=$O526),$R526,IF(AND($AA525="Débit",$O525=$O524),$R524)),IF(OR(AND(OR($E525&lt;&gt;"",$M525=""),$N525&lt;&gt;0),$A525=""),IFERROR(INDEX(Investment!$H:$H,MATCH($E525,Investment!$F:$F,0))),IFERROR(INDEX($R526:$R1119,MATCH(SUBSTITUTE($I525,"-","",1),$K526:$K1119,0)),INDEX($R526:$R1119,MATCH($K525,$K526:$K1119,0)))))</f>
        <v/>
      </c>
      <c r="S525" s="35" t="str">
        <f t="shared" si="2"/>
        <v/>
      </c>
      <c r="T525" s="37" t="str">
        <f t="shared" si="3"/>
        <v/>
      </c>
      <c r="U525" s="38" t="str">
        <f t="shared" si="4"/>
        <v/>
      </c>
      <c r="V525" s="31" t="str">
        <f t="shared" si="5"/>
        <v/>
      </c>
      <c r="W525" s="39" t="str">
        <f>IFERROR(__xludf.DUMMYFUNCTION(" IF(Account!$F525&lt;&gt;"""", SPLIT(Account!$F525, "" ""), """")"),"")</f>
        <v/>
      </c>
      <c r="X525" s="40"/>
      <c r="Y525" s="40"/>
      <c r="Z525" s="40"/>
      <c r="AA525" s="40"/>
      <c r="AB525" s="40"/>
      <c r="AC525" s="40"/>
      <c r="AD525" s="40"/>
      <c r="AE525" s="40"/>
      <c r="AF525" s="40"/>
      <c r="AG525" s="40"/>
      <c r="AH525" s="40"/>
      <c r="AI525" s="40"/>
      <c r="AJ525" s="40"/>
      <c r="AK525" s="40"/>
    </row>
    <row r="526">
      <c r="A526" s="10"/>
      <c r="B526" s="10"/>
      <c r="C526" s="10"/>
      <c r="D526" s="10"/>
      <c r="E526" s="10"/>
      <c r="F526" s="12"/>
      <c r="G526" s="300"/>
      <c r="H526" s="10"/>
      <c r="I526" s="10"/>
      <c r="J526" s="10"/>
      <c r="K526" s="10"/>
      <c r="L526" s="12"/>
      <c r="M526" s="29" t="str">
        <f t="shared" si="1"/>
        <v/>
      </c>
      <c r="N526" s="31" t="str">
        <f>IFERROR(__xludf.DUMMYFUNCTION("IF(Account!$F526&lt;&gt;"""", VALUE(REGEXREPLACE($I526, ""\,"", ""."")), """")"),"")</f>
        <v/>
      </c>
      <c r="O526" s="33" t="str">
        <f>IF(Account!$F526&lt;&gt;"", DATEVALUE(MID($A526,4,3) &amp; LEFT($A526,3) &amp; RIGHT($A526,4)) + TIMEVALUE($B526), "")</f>
        <v/>
      </c>
      <c r="P526" s="34" t="str">
        <f>IF(Account!$F526&lt;&gt;"", DATEVALUE(MID($C526,4,3) &amp; LEFT($C526,3) &amp; RIGHT($C526,4)), "")</f>
        <v/>
      </c>
      <c r="Q526" s="35" t="str">
        <f t="array" ref="Q526">IF($R526&lt;&gt;"",IFERROR(INDEX(Investment!$A:$A,MATCH($R526,Investment!$H:$H,0))),)</f>
        <v/>
      </c>
      <c r="R526" s="36" t="str">
        <f t="array" ref="R526">IF(AND($Y526="change",$H526="EUR"),IF(AND($AA526="Crédit",$O526=$O527),$R527,IF(AND($AA526="Débit",$O526=$O525),$R525)),IF(OR(AND(OR($E526&lt;&gt;"",$M526=""),$N526&lt;&gt;0),$A526=""),IFERROR(INDEX(Investment!$H:$H,MATCH($E526,Investment!$F:$F,0))),IFERROR(INDEX($R527:$R1119,MATCH(SUBSTITUTE($I526,"-","",1),$K527:$K1119,0)),INDEX($R527:$R1119,MATCH($K526,$K527:$K1119,0)))))</f>
        <v/>
      </c>
      <c r="S526" s="35" t="str">
        <f t="shared" si="2"/>
        <v/>
      </c>
      <c r="T526" s="37" t="str">
        <f t="shared" si="3"/>
        <v/>
      </c>
      <c r="U526" s="38" t="str">
        <f t="shared" si="4"/>
        <v/>
      </c>
      <c r="V526" s="31" t="str">
        <f t="shared" si="5"/>
        <v/>
      </c>
      <c r="W526" s="39" t="str">
        <f>IFERROR(__xludf.DUMMYFUNCTION(" IF(Account!$F526&lt;&gt;"""", SPLIT(Account!$F526, "" ""), """")"),"")</f>
        <v/>
      </c>
      <c r="X526" s="40"/>
      <c r="Y526" s="40"/>
      <c r="Z526" s="40"/>
      <c r="AA526" s="40"/>
      <c r="AB526" s="40"/>
      <c r="AC526" s="40"/>
      <c r="AD526" s="40"/>
      <c r="AE526" s="40"/>
      <c r="AF526" s="40"/>
      <c r="AG526" s="40"/>
      <c r="AH526" s="40"/>
      <c r="AI526" s="40"/>
      <c r="AJ526" s="40"/>
      <c r="AK526" s="40"/>
    </row>
    <row r="527">
      <c r="A527" s="10"/>
      <c r="B527" s="10"/>
      <c r="C527" s="10"/>
      <c r="D527" s="10"/>
      <c r="E527" s="10"/>
      <c r="F527" s="12"/>
      <c r="G527" s="300"/>
      <c r="H527" s="10"/>
      <c r="I527" s="10"/>
      <c r="J527" s="10"/>
      <c r="K527" s="10"/>
      <c r="L527" s="12"/>
      <c r="M527" s="29" t="str">
        <f t="shared" si="1"/>
        <v/>
      </c>
      <c r="N527" s="31" t="str">
        <f>IFERROR(__xludf.DUMMYFUNCTION("IF(Account!$F527&lt;&gt;"""", VALUE(REGEXREPLACE($I527, ""\,"", ""."")), """")"),"")</f>
        <v/>
      </c>
      <c r="O527" s="33" t="str">
        <f>IF(Account!$F527&lt;&gt;"", DATEVALUE(MID($A527,4,3) &amp; LEFT($A527,3) &amp; RIGHT($A527,4)) + TIMEVALUE($B527), "")</f>
        <v/>
      </c>
      <c r="P527" s="34" t="str">
        <f>IF(Account!$F527&lt;&gt;"", DATEVALUE(MID($C527,4,3) &amp; LEFT($C527,3) &amp; RIGHT($C527,4)), "")</f>
        <v/>
      </c>
      <c r="Q527" s="35" t="str">
        <f t="array" ref="Q527">IF($R527&lt;&gt;"",IFERROR(INDEX(Investment!$A:$A,MATCH($R527,Investment!$H:$H,0))),)</f>
        <v/>
      </c>
      <c r="R527" s="36" t="str">
        <f t="array" ref="R527">IF(AND($Y527="change",$H527="EUR"),IF(AND($AA527="Crédit",$O527=$O528),$R528,IF(AND($AA527="Débit",$O527=$O526),$R526)),IF(OR(AND(OR($E527&lt;&gt;"",$M527=""),$N527&lt;&gt;0),$A527=""),IFERROR(INDEX(Investment!$H:$H,MATCH($E527,Investment!$F:$F,0))),IFERROR(INDEX($R528:$R1119,MATCH(SUBSTITUTE($I527,"-","",1),$K528:$K1119,0)),INDEX($R528:$R1119,MATCH($K527,$K528:$K1119,0)))))</f>
        <v/>
      </c>
      <c r="S527" s="35" t="str">
        <f t="shared" si="2"/>
        <v/>
      </c>
      <c r="T527" s="37" t="str">
        <f t="shared" si="3"/>
        <v/>
      </c>
      <c r="U527" s="38" t="str">
        <f t="shared" si="4"/>
        <v/>
      </c>
      <c r="V527" s="31" t="str">
        <f t="shared" si="5"/>
        <v/>
      </c>
      <c r="W527" s="39" t="str">
        <f>IFERROR(__xludf.DUMMYFUNCTION(" IF(Account!$F527&lt;&gt;"""", SPLIT(Account!$F527, "" ""), """")"),"")</f>
        <v/>
      </c>
      <c r="X527" s="40"/>
      <c r="Y527" s="40"/>
      <c r="Z527" s="40"/>
      <c r="AA527" s="40"/>
      <c r="AB527" s="40"/>
      <c r="AC527" s="40"/>
      <c r="AD527" s="40"/>
      <c r="AE527" s="40"/>
      <c r="AF527" s="40"/>
      <c r="AG527" s="40"/>
      <c r="AH527" s="40"/>
      <c r="AI527" s="40"/>
      <c r="AJ527" s="40"/>
      <c r="AK527" s="40"/>
    </row>
    <row r="528">
      <c r="A528" s="10"/>
      <c r="B528" s="10"/>
      <c r="C528" s="10"/>
      <c r="D528" s="10"/>
      <c r="E528" s="10"/>
      <c r="F528" s="12"/>
      <c r="G528" s="10"/>
      <c r="H528" s="10"/>
      <c r="I528" s="10"/>
      <c r="J528" s="10"/>
      <c r="K528" s="10"/>
      <c r="L528" s="12"/>
      <c r="M528" s="29" t="str">
        <f t="shared" si="1"/>
        <v/>
      </c>
      <c r="N528" s="31" t="str">
        <f>IFERROR(__xludf.DUMMYFUNCTION("IF(Account!$F528&lt;&gt;"""", VALUE(REGEXREPLACE($I528, ""\,"", ""."")), """")"),"")</f>
        <v/>
      </c>
      <c r="O528" s="33" t="str">
        <f>IF(Account!$F528&lt;&gt;"", DATEVALUE(MID($A528,4,3) &amp; LEFT($A528,3) &amp; RIGHT($A528,4)) + TIMEVALUE($B528), "")</f>
        <v/>
      </c>
      <c r="P528" s="34" t="str">
        <f>IF(Account!$F528&lt;&gt;"", DATEVALUE(MID($C528,4,3) &amp; LEFT($C528,3) &amp; RIGHT($C528,4)), "")</f>
        <v/>
      </c>
      <c r="Q528" s="35" t="str">
        <f t="array" ref="Q528">IF($R528&lt;&gt;"",IFERROR(INDEX(Investment!$A:$A,MATCH($R528,Investment!$H:$H,0))),)</f>
        <v/>
      </c>
      <c r="R528" s="36" t="str">
        <f t="array" ref="R528">IF(AND($Y528="change",$H528="EUR"),IF(AND($AA528="Crédit",$O528=$O529),$R529,IF(AND($AA528="Débit",$O528=$O527),$R527)),IF(OR(AND(OR($E528&lt;&gt;"",$M528=""),$N528&lt;&gt;0),$A528=""),IFERROR(INDEX(Investment!$H:$H,MATCH($E528,Investment!$F:$F,0))),IFERROR(INDEX($R529:$R1119,MATCH(SUBSTITUTE($I528,"-","",1),$K529:$K1119,0)),INDEX($R529:$R1119,MATCH($K528,$K529:$K1119,0)))))</f>
        <v/>
      </c>
      <c r="S528" s="35" t="str">
        <f t="shared" si="2"/>
        <v/>
      </c>
      <c r="T528" s="37" t="str">
        <f t="shared" si="3"/>
        <v/>
      </c>
      <c r="U528" s="38" t="str">
        <f t="shared" si="4"/>
        <v/>
      </c>
      <c r="V528" s="31" t="str">
        <f t="shared" si="5"/>
        <v/>
      </c>
      <c r="W528" s="39" t="str">
        <f>IFERROR(__xludf.DUMMYFUNCTION(" IF(Account!$F528&lt;&gt;"""", SPLIT(Account!$F528, "" ""), """")"),"")</f>
        <v/>
      </c>
      <c r="X528" s="40"/>
      <c r="Y528" s="40"/>
      <c r="Z528" s="40"/>
      <c r="AA528" s="40"/>
      <c r="AB528" s="40"/>
      <c r="AC528" s="40"/>
      <c r="AD528" s="40"/>
      <c r="AE528" s="40"/>
      <c r="AF528" s="40"/>
      <c r="AG528" s="40"/>
      <c r="AH528" s="40"/>
      <c r="AI528" s="40"/>
      <c r="AJ528" s="40"/>
      <c r="AK528" s="40"/>
    </row>
    <row r="529">
      <c r="A529" s="10"/>
      <c r="B529" s="10"/>
      <c r="C529" s="10"/>
      <c r="D529" s="10"/>
      <c r="E529" s="10"/>
      <c r="F529" s="12"/>
      <c r="G529" s="300"/>
      <c r="H529" s="10"/>
      <c r="I529" s="10"/>
      <c r="J529" s="10"/>
      <c r="K529" s="10"/>
      <c r="L529" s="12"/>
      <c r="M529" s="29" t="str">
        <f t="shared" si="1"/>
        <v/>
      </c>
      <c r="N529" s="31" t="str">
        <f>IFERROR(__xludf.DUMMYFUNCTION("IF(Account!$F529&lt;&gt;"""", VALUE(REGEXREPLACE($I529, ""\,"", ""."")), """")"),"")</f>
        <v/>
      </c>
      <c r="O529" s="33" t="str">
        <f>IF(Account!$F529&lt;&gt;"", DATEVALUE(MID($A529,4,3) &amp; LEFT($A529,3) &amp; RIGHT($A529,4)) + TIMEVALUE($B529), "")</f>
        <v/>
      </c>
      <c r="P529" s="34" t="str">
        <f>IF(Account!$F529&lt;&gt;"", DATEVALUE(MID($C529,4,3) &amp; LEFT($C529,3) &amp; RIGHT($C529,4)), "")</f>
        <v/>
      </c>
      <c r="Q529" s="35" t="str">
        <f t="array" ref="Q529">IF($R529&lt;&gt;"",IFERROR(INDEX(Investment!$A:$A,MATCH($R529,Investment!$H:$H,0))),)</f>
        <v/>
      </c>
      <c r="R529" s="36" t="str">
        <f t="array" ref="R529">IF(AND($Y529="change",$H529="EUR"),IF(AND($AA529="Crédit",$O529=$O530),$R530,IF(AND($AA529="Débit",$O529=$O528),$R528)),IF(OR(AND(OR($E529&lt;&gt;"",$M529=""),$N529&lt;&gt;0),$A529=""),IFERROR(INDEX(Investment!$H:$H,MATCH($E529,Investment!$F:$F,0))),IFERROR(INDEX($R530:$R1119,MATCH(SUBSTITUTE($I529,"-","",1),$K530:$K1119,0)),INDEX($R530:$R1119,MATCH($K529,$K530:$K1119,0)))))</f>
        <v/>
      </c>
      <c r="S529" s="35" t="str">
        <f t="shared" si="2"/>
        <v/>
      </c>
      <c r="T529" s="37" t="str">
        <f t="shared" si="3"/>
        <v/>
      </c>
      <c r="U529" s="38" t="str">
        <f t="shared" si="4"/>
        <v/>
      </c>
      <c r="V529" s="31" t="str">
        <f t="shared" si="5"/>
        <v/>
      </c>
      <c r="W529" s="39" t="str">
        <f>IFERROR(__xludf.DUMMYFUNCTION(" IF(Account!$F529&lt;&gt;"""", SPLIT(Account!$F529, "" ""), """")"),"")</f>
        <v/>
      </c>
      <c r="X529" s="40"/>
      <c r="Y529" s="40"/>
      <c r="Z529" s="40"/>
      <c r="AA529" s="40"/>
      <c r="AB529" s="40"/>
      <c r="AC529" s="40"/>
      <c r="AD529" s="40"/>
      <c r="AE529" s="40"/>
      <c r="AF529" s="40"/>
      <c r="AG529" s="40"/>
      <c r="AH529" s="40"/>
      <c r="AI529" s="40"/>
      <c r="AJ529" s="40"/>
      <c r="AK529" s="40"/>
    </row>
    <row r="530">
      <c r="A530" s="10"/>
      <c r="B530" s="10"/>
      <c r="C530" s="10"/>
      <c r="D530" s="10"/>
      <c r="E530" s="10"/>
      <c r="F530" s="12"/>
      <c r="G530" s="300"/>
      <c r="H530" s="10"/>
      <c r="I530" s="10"/>
      <c r="J530" s="10"/>
      <c r="K530" s="10"/>
      <c r="L530" s="12"/>
      <c r="M530" s="29" t="str">
        <f t="shared" si="1"/>
        <v/>
      </c>
      <c r="N530" s="31" t="str">
        <f>IFERROR(__xludf.DUMMYFUNCTION("IF(Account!$F530&lt;&gt;"""", VALUE(REGEXREPLACE($I530, ""\,"", ""."")), """")"),"")</f>
        <v/>
      </c>
      <c r="O530" s="33" t="str">
        <f>IF(Account!$F530&lt;&gt;"", DATEVALUE(MID($A530,4,3) &amp; LEFT($A530,3) &amp; RIGHT($A530,4)) + TIMEVALUE($B530), "")</f>
        <v/>
      </c>
      <c r="P530" s="34" t="str">
        <f>IF(Account!$F530&lt;&gt;"", DATEVALUE(MID($C530,4,3) &amp; LEFT($C530,3) &amp; RIGHT($C530,4)), "")</f>
        <v/>
      </c>
      <c r="Q530" s="35" t="str">
        <f t="array" ref="Q530">IF($R530&lt;&gt;"",IFERROR(INDEX(Investment!$A:$A,MATCH($R530,Investment!$H:$H,0))),)</f>
        <v/>
      </c>
      <c r="R530" s="36" t="str">
        <f t="array" ref="R530">IF(AND($Y530="change",$H530="EUR"),IF(AND($AA530="Crédit",$O530=$O531),$R531,IF(AND($AA530="Débit",$O530=$O529),$R529)),IF(OR(AND(OR($E530&lt;&gt;"",$M530=""),$N530&lt;&gt;0),$A530=""),IFERROR(INDEX(Investment!$H:$H,MATCH($E530,Investment!$F:$F,0))),IFERROR(INDEX($R531:$R1119,MATCH(SUBSTITUTE($I530,"-","",1),$K531:$K1119,0)),INDEX($R531:$R1119,MATCH($K530,$K531:$K1119,0)))))</f>
        <v/>
      </c>
      <c r="S530" s="35" t="str">
        <f t="shared" si="2"/>
        <v/>
      </c>
      <c r="T530" s="37" t="str">
        <f t="shared" si="3"/>
        <v/>
      </c>
      <c r="U530" s="38" t="str">
        <f t="shared" si="4"/>
        <v/>
      </c>
      <c r="V530" s="31" t="str">
        <f t="shared" si="5"/>
        <v/>
      </c>
      <c r="W530" s="39" t="str">
        <f>IFERROR(__xludf.DUMMYFUNCTION(" IF(Account!$F530&lt;&gt;"""", SPLIT(Account!$F530, "" ""), """")"),"")</f>
        <v/>
      </c>
      <c r="X530" s="40"/>
      <c r="Y530" s="40"/>
      <c r="Z530" s="40"/>
      <c r="AA530" s="40"/>
      <c r="AB530" s="40"/>
      <c r="AC530" s="40"/>
      <c r="AD530" s="40"/>
      <c r="AE530" s="40"/>
      <c r="AF530" s="40"/>
      <c r="AG530" s="40"/>
      <c r="AH530" s="40"/>
      <c r="AI530" s="40"/>
      <c r="AJ530" s="40"/>
      <c r="AK530" s="40"/>
    </row>
    <row r="531">
      <c r="A531" s="10"/>
      <c r="B531" s="10"/>
      <c r="C531" s="10"/>
      <c r="D531" s="10"/>
      <c r="E531" s="10"/>
      <c r="F531" s="12"/>
      <c r="G531" s="10"/>
      <c r="H531" s="10"/>
      <c r="I531" s="10"/>
      <c r="J531" s="10"/>
      <c r="K531" s="10"/>
      <c r="L531" s="12"/>
      <c r="M531" s="29" t="str">
        <f t="shared" si="1"/>
        <v/>
      </c>
      <c r="N531" s="31" t="str">
        <f>IFERROR(__xludf.DUMMYFUNCTION("IF(Account!$F531&lt;&gt;"""", VALUE(REGEXREPLACE($I531, ""\,"", ""."")), """")"),"")</f>
        <v/>
      </c>
      <c r="O531" s="33" t="str">
        <f>IF(Account!$F531&lt;&gt;"", DATEVALUE(MID($A531,4,3) &amp; LEFT($A531,3) &amp; RIGHT($A531,4)) + TIMEVALUE($B531), "")</f>
        <v/>
      </c>
      <c r="P531" s="34" t="str">
        <f>IF(Account!$F531&lt;&gt;"", DATEVALUE(MID($C531,4,3) &amp; LEFT($C531,3) &amp; RIGHT($C531,4)), "")</f>
        <v/>
      </c>
      <c r="Q531" s="35" t="str">
        <f t="array" ref="Q531">IF($R531&lt;&gt;"",IFERROR(INDEX(Investment!$A:$A,MATCH($R531,Investment!$H:$H,0))),)</f>
        <v/>
      </c>
      <c r="R531" s="36" t="str">
        <f t="array" ref="R531">IF(AND($Y531="change",$H531="EUR"),IF(AND($AA531="Crédit",$O531=$O532),$R532,IF(AND($AA531="Débit",$O531=$O530),$R530)),IF(OR(AND(OR($E531&lt;&gt;"",$M531=""),$N531&lt;&gt;0),$A531=""),IFERROR(INDEX(Investment!$H:$H,MATCH($E531,Investment!$F:$F,0))),IFERROR(INDEX($R532:$R1119,MATCH(SUBSTITUTE($I531,"-","",1),$K532:$K1119,0)),INDEX($R532:$R1119,MATCH($K531,$K532:$K1119,0)))))</f>
        <v/>
      </c>
      <c r="S531" s="35" t="str">
        <f t="shared" si="2"/>
        <v/>
      </c>
      <c r="T531" s="37" t="str">
        <f t="shared" si="3"/>
        <v/>
      </c>
      <c r="U531" s="38" t="str">
        <f t="shared" si="4"/>
        <v/>
      </c>
      <c r="V531" s="31" t="str">
        <f t="shared" si="5"/>
        <v/>
      </c>
      <c r="W531" s="39" t="str">
        <f>IFERROR(__xludf.DUMMYFUNCTION(" IF(Account!$F531&lt;&gt;"""", SPLIT(Account!$F531, "" ""), """")"),"")</f>
        <v/>
      </c>
      <c r="X531" s="40"/>
      <c r="Y531" s="40"/>
      <c r="Z531" s="40"/>
      <c r="AA531" s="40"/>
      <c r="AB531" s="40"/>
      <c r="AC531" s="40"/>
      <c r="AD531" s="40"/>
      <c r="AE531" s="40"/>
      <c r="AF531" s="40"/>
      <c r="AG531" s="40"/>
      <c r="AH531" s="40"/>
      <c r="AI531" s="40"/>
      <c r="AJ531" s="40"/>
      <c r="AK531" s="40"/>
    </row>
    <row r="532">
      <c r="A532" s="10"/>
      <c r="B532" s="10"/>
      <c r="C532" s="10"/>
      <c r="D532" s="10"/>
      <c r="E532" s="10"/>
      <c r="F532" s="12"/>
      <c r="G532" s="300"/>
      <c r="H532" s="10"/>
      <c r="I532" s="10"/>
      <c r="J532" s="10"/>
      <c r="K532" s="10"/>
      <c r="L532" s="12"/>
      <c r="M532" s="29" t="str">
        <f t="shared" si="1"/>
        <v/>
      </c>
      <c r="N532" s="31" t="str">
        <f>IFERROR(__xludf.DUMMYFUNCTION("IF(Account!$F532&lt;&gt;"""", VALUE(REGEXREPLACE($I532, ""\,"", ""."")), """")"),"")</f>
        <v/>
      </c>
      <c r="O532" s="33" t="str">
        <f>IF(Account!$F532&lt;&gt;"", DATEVALUE(MID($A532,4,3) &amp; LEFT($A532,3) &amp; RIGHT($A532,4)) + TIMEVALUE($B532), "")</f>
        <v/>
      </c>
      <c r="P532" s="34" t="str">
        <f>IF(Account!$F532&lt;&gt;"", DATEVALUE(MID($C532,4,3) &amp; LEFT($C532,3) &amp; RIGHT($C532,4)), "")</f>
        <v/>
      </c>
      <c r="Q532" s="35" t="str">
        <f t="array" ref="Q532">IF($R532&lt;&gt;"",IFERROR(INDEX(Investment!$A:$A,MATCH($R532,Investment!$H:$H,0))),)</f>
        <v/>
      </c>
      <c r="R532" s="36" t="str">
        <f t="array" ref="R532">IF(AND($Y532="change",$H532="EUR"),IF(AND($AA532="Crédit",$O532=$O533),$R533,IF(AND($AA532="Débit",$O532=$O531),$R531)),IF(OR(AND(OR($E532&lt;&gt;"",$M532=""),$N532&lt;&gt;0),$A532=""),IFERROR(INDEX(Investment!$H:$H,MATCH($E532,Investment!$F:$F,0))),IFERROR(INDEX($R533:$R1119,MATCH(SUBSTITUTE($I532,"-","",1),$K533:$K1119,0)),INDEX($R533:$R1119,MATCH($K532,$K533:$K1119,0)))))</f>
        <v/>
      </c>
      <c r="S532" s="35" t="str">
        <f t="shared" si="2"/>
        <v/>
      </c>
      <c r="T532" s="37" t="str">
        <f t="shared" si="3"/>
        <v/>
      </c>
      <c r="U532" s="38" t="str">
        <f t="shared" si="4"/>
        <v/>
      </c>
      <c r="V532" s="31" t="str">
        <f t="shared" si="5"/>
        <v/>
      </c>
      <c r="W532" s="39" t="str">
        <f>IFERROR(__xludf.DUMMYFUNCTION(" IF(Account!$F532&lt;&gt;"""", SPLIT(Account!$F532, "" ""), """")"),"")</f>
        <v/>
      </c>
      <c r="X532" s="40"/>
      <c r="Y532" s="40"/>
      <c r="Z532" s="40"/>
      <c r="AA532" s="40"/>
      <c r="AB532" s="40"/>
      <c r="AC532" s="40"/>
      <c r="AD532" s="40"/>
      <c r="AE532" s="40"/>
      <c r="AF532" s="40"/>
      <c r="AG532" s="40"/>
      <c r="AH532" s="40"/>
      <c r="AI532" s="40"/>
      <c r="AJ532" s="40"/>
      <c r="AK532" s="40"/>
    </row>
    <row r="533">
      <c r="A533" s="10"/>
      <c r="B533" s="10"/>
      <c r="C533" s="10"/>
      <c r="D533" s="10"/>
      <c r="E533" s="10"/>
      <c r="F533" s="12"/>
      <c r="G533" s="300"/>
      <c r="H533" s="10"/>
      <c r="I533" s="10"/>
      <c r="J533" s="10"/>
      <c r="K533" s="10"/>
      <c r="L533" s="12"/>
      <c r="M533" s="29" t="str">
        <f t="shared" si="1"/>
        <v/>
      </c>
      <c r="N533" s="31" t="str">
        <f>IFERROR(__xludf.DUMMYFUNCTION("IF(Account!$F533&lt;&gt;"""", VALUE(REGEXREPLACE($I533, ""\,"", ""."")), """")"),"")</f>
        <v/>
      </c>
      <c r="O533" s="33" t="str">
        <f>IF(Account!$F533&lt;&gt;"", DATEVALUE(MID($A533,4,3) &amp; LEFT($A533,3) &amp; RIGHT($A533,4)) + TIMEVALUE($B533), "")</f>
        <v/>
      </c>
      <c r="P533" s="34" t="str">
        <f>IF(Account!$F533&lt;&gt;"", DATEVALUE(MID($C533,4,3) &amp; LEFT($C533,3) &amp; RIGHT($C533,4)), "")</f>
        <v/>
      </c>
      <c r="Q533" s="35" t="str">
        <f t="array" ref="Q533">IF($R533&lt;&gt;"",IFERROR(INDEX(Investment!$A:$A,MATCH($R533,Investment!$H:$H,0))),)</f>
        <v/>
      </c>
      <c r="R533" s="36" t="str">
        <f t="array" ref="R533">IF(AND($Y533="change",$H533="EUR"),IF(AND($AA533="Crédit",$O533=$O534),$R534,IF(AND($AA533="Débit",$O533=$O532),$R532)),IF(OR(AND(OR($E533&lt;&gt;"",$M533=""),$N533&lt;&gt;0),$A533=""),IFERROR(INDEX(Investment!$H:$H,MATCH($E533,Investment!$F:$F,0))),IFERROR(INDEX($R534:$R1119,MATCH(SUBSTITUTE($I533,"-","",1),$K534:$K1119,0)),INDEX($R534:$R1119,MATCH($K533,$K534:$K1119,0)))))</f>
        <v/>
      </c>
      <c r="S533" s="35" t="str">
        <f t="shared" si="2"/>
        <v/>
      </c>
      <c r="T533" s="37" t="str">
        <f t="shared" si="3"/>
        <v/>
      </c>
      <c r="U533" s="38" t="str">
        <f t="shared" si="4"/>
        <v/>
      </c>
      <c r="V533" s="31" t="str">
        <f t="shared" si="5"/>
        <v/>
      </c>
      <c r="W533" s="39" t="str">
        <f>IFERROR(__xludf.DUMMYFUNCTION(" IF(Account!$F533&lt;&gt;"""", SPLIT(Account!$F533, "" ""), """")"),"")</f>
        <v/>
      </c>
      <c r="X533" s="40"/>
      <c r="Y533" s="40"/>
      <c r="Z533" s="40"/>
      <c r="AA533" s="40"/>
      <c r="AB533" s="40"/>
      <c r="AC533" s="40"/>
      <c r="AD533" s="40"/>
      <c r="AE533" s="40"/>
      <c r="AF533" s="40"/>
      <c r="AG533" s="40"/>
      <c r="AH533" s="40"/>
      <c r="AI533" s="40"/>
      <c r="AJ533" s="40"/>
      <c r="AK533" s="40"/>
    </row>
    <row r="534">
      <c r="A534" s="10"/>
      <c r="B534" s="10"/>
      <c r="C534" s="10"/>
      <c r="D534" s="10"/>
      <c r="E534" s="10"/>
      <c r="F534" s="12"/>
      <c r="G534" s="300"/>
      <c r="H534" s="300"/>
      <c r="I534" s="300"/>
      <c r="J534" s="10"/>
      <c r="K534" s="10"/>
      <c r="L534" s="12"/>
      <c r="M534" s="29" t="str">
        <f t="shared" si="1"/>
        <v/>
      </c>
      <c r="N534" s="31" t="str">
        <f>IFERROR(__xludf.DUMMYFUNCTION("IF(Account!$F534&lt;&gt;"""", VALUE(REGEXREPLACE($I534, ""\,"", ""."")), """")"),"")</f>
        <v/>
      </c>
      <c r="O534" s="33" t="str">
        <f>IF(Account!$F534&lt;&gt;"", DATEVALUE(MID($A534,4,3) &amp; LEFT($A534,3) &amp; RIGHT($A534,4)) + TIMEVALUE($B534), "")</f>
        <v/>
      </c>
      <c r="P534" s="34" t="str">
        <f>IF(Account!$F534&lt;&gt;"", DATEVALUE(MID($C534,4,3) &amp; LEFT($C534,3) &amp; RIGHT($C534,4)), "")</f>
        <v/>
      </c>
      <c r="Q534" s="35" t="str">
        <f t="array" ref="Q534">IF($R534&lt;&gt;"",IFERROR(INDEX(Investment!$A:$A,MATCH($R534,Investment!$H:$H,0))),)</f>
        <v/>
      </c>
      <c r="R534" s="36" t="str">
        <f t="array" ref="R534">IF(AND($Y534="change",$H534="EUR"),IF(AND($AA534="Crédit",$O534=$O535),$R535,IF(AND($AA534="Débit",$O534=$O533),$R533)),IF(OR(AND(OR($E534&lt;&gt;"",$M534=""),$N534&lt;&gt;0),$A534=""),IFERROR(INDEX(Investment!$H:$H,MATCH($E534,Investment!$F:$F,0))),IFERROR(INDEX($R535:$R1119,MATCH(SUBSTITUTE($I534,"-","",1),$K535:$K1119,0)),INDEX($R535:$R1119,MATCH($K534,$K535:$K1119,0)))))</f>
        <v/>
      </c>
      <c r="S534" s="35" t="str">
        <f t="shared" si="2"/>
        <v/>
      </c>
      <c r="T534" s="37" t="str">
        <f t="shared" si="3"/>
        <v/>
      </c>
      <c r="U534" s="38" t="str">
        <f t="shared" si="4"/>
        <v/>
      </c>
      <c r="V534" s="31" t="str">
        <f t="shared" si="5"/>
        <v/>
      </c>
      <c r="W534" s="39" t="str">
        <f>IFERROR(__xludf.DUMMYFUNCTION(" IF(Account!$F534&lt;&gt;"""", SPLIT(Account!$F534, "" ""), """")"),"")</f>
        <v/>
      </c>
      <c r="X534" s="40"/>
      <c r="Y534" s="40"/>
      <c r="Z534" s="40"/>
      <c r="AA534" s="40"/>
      <c r="AB534" s="40"/>
      <c r="AC534" s="40"/>
      <c r="AD534" s="40"/>
      <c r="AE534" s="40"/>
      <c r="AF534" s="40"/>
      <c r="AG534" s="40"/>
      <c r="AH534" s="40"/>
      <c r="AI534" s="40"/>
      <c r="AJ534" s="40"/>
      <c r="AK534" s="40"/>
    </row>
    <row r="535">
      <c r="A535" s="10"/>
      <c r="B535" s="10"/>
      <c r="C535" s="10"/>
      <c r="D535" s="10"/>
      <c r="E535" s="10"/>
      <c r="F535" s="12"/>
      <c r="G535" s="300"/>
      <c r="H535" s="10"/>
      <c r="I535" s="10"/>
      <c r="J535" s="10"/>
      <c r="K535" s="10"/>
      <c r="L535" s="12"/>
      <c r="M535" s="29" t="str">
        <f t="shared" si="1"/>
        <v/>
      </c>
      <c r="N535" s="31" t="str">
        <f>IFERROR(__xludf.DUMMYFUNCTION("IF(Account!$F535&lt;&gt;"""", VALUE(REGEXREPLACE($I535, ""\,"", ""."")), """")"),"")</f>
        <v/>
      </c>
      <c r="O535" s="33" t="str">
        <f>IF(Account!$F535&lt;&gt;"", DATEVALUE(MID($A535,4,3) &amp; LEFT($A535,3) &amp; RIGHT($A535,4)) + TIMEVALUE($B535), "")</f>
        <v/>
      </c>
      <c r="P535" s="34" t="str">
        <f>IF(Account!$F535&lt;&gt;"", DATEVALUE(MID($C535,4,3) &amp; LEFT($C535,3) &amp; RIGHT($C535,4)), "")</f>
        <v/>
      </c>
      <c r="Q535" s="35" t="str">
        <f t="array" ref="Q535">IF($R535&lt;&gt;"",IFERROR(INDEX(Investment!$A:$A,MATCH($R535,Investment!$H:$H,0))),)</f>
        <v/>
      </c>
      <c r="R535" s="36" t="str">
        <f t="array" ref="R535">IF(AND($Y535="change",$H535="EUR"),IF(AND($AA535="Crédit",$O535=$O536),$R536,IF(AND($AA535="Débit",$O535=$O534),$R534)),IF(OR(AND(OR($E535&lt;&gt;"",$M535=""),$N535&lt;&gt;0),$A535=""),IFERROR(INDEX(Investment!$H:$H,MATCH($E535,Investment!$F:$F,0))),IFERROR(INDEX($R536:$R1119,MATCH(SUBSTITUTE($I535,"-","",1),$K536:$K1119,0)),INDEX($R536:$R1119,MATCH($K535,$K536:$K1119,0)))))</f>
        <v/>
      </c>
      <c r="S535" s="35" t="str">
        <f t="shared" si="2"/>
        <v/>
      </c>
      <c r="T535" s="37" t="str">
        <f t="shared" si="3"/>
        <v/>
      </c>
      <c r="U535" s="38" t="str">
        <f t="shared" si="4"/>
        <v/>
      </c>
      <c r="V535" s="31" t="str">
        <f t="shared" si="5"/>
        <v/>
      </c>
      <c r="W535" s="39" t="str">
        <f>IFERROR(__xludf.DUMMYFUNCTION(" IF(Account!$F535&lt;&gt;"""", SPLIT(Account!$F535, "" ""), """")"),"")</f>
        <v/>
      </c>
      <c r="X535" s="40"/>
      <c r="Y535" s="40"/>
      <c r="Z535" s="40"/>
      <c r="AA535" s="40"/>
      <c r="AB535" s="40"/>
      <c r="AC535" s="40"/>
      <c r="AD535" s="40"/>
      <c r="AE535" s="40"/>
      <c r="AF535" s="40"/>
      <c r="AG535" s="40"/>
      <c r="AH535" s="40"/>
      <c r="AI535" s="40"/>
      <c r="AJ535" s="40"/>
      <c r="AK535" s="40"/>
    </row>
    <row r="536">
      <c r="A536" s="10"/>
      <c r="B536" s="10"/>
      <c r="C536" s="10"/>
      <c r="D536" s="10"/>
      <c r="E536" s="10"/>
      <c r="F536" s="12"/>
      <c r="G536" s="300"/>
      <c r="H536" s="300"/>
      <c r="I536" s="300"/>
      <c r="J536" s="10"/>
      <c r="K536" s="10"/>
      <c r="L536" s="12"/>
      <c r="M536" s="29" t="str">
        <f t="shared" si="1"/>
        <v/>
      </c>
      <c r="N536" s="31" t="str">
        <f>IFERROR(__xludf.DUMMYFUNCTION("IF(Account!$F536&lt;&gt;"""", VALUE(REGEXREPLACE($I536, ""\,"", ""."")), """")"),"")</f>
        <v/>
      </c>
      <c r="O536" s="33" t="str">
        <f>IF(Account!$F536&lt;&gt;"", DATEVALUE(MID($A536,4,3) &amp; LEFT($A536,3) &amp; RIGHT($A536,4)) + TIMEVALUE($B536), "")</f>
        <v/>
      </c>
      <c r="P536" s="34" t="str">
        <f>IF(Account!$F536&lt;&gt;"", DATEVALUE(MID($C536,4,3) &amp; LEFT($C536,3) &amp; RIGHT($C536,4)), "")</f>
        <v/>
      </c>
      <c r="Q536" s="35" t="str">
        <f t="array" ref="Q536">IF($R536&lt;&gt;"",IFERROR(INDEX(Investment!$A:$A,MATCH($R536,Investment!$H:$H,0))),)</f>
        <v/>
      </c>
      <c r="R536" s="36" t="str">
        <f t="array" ref="R536">IF(AND($Y536="change",$H536="EUR"),IF(AND($AA536="Crédit",$O536=$O537),$R537,IF(AND($AA536="Débit",$O536=$O535),$R535)),IF(OR(AND(OR($E536&lt;&gt;"",$M536=""),$N536&lt;&gt;0),$A536=""),IFERROR(INDEX(Investment!$H:$H,MATCH($E536,Investment!$F:$F,0))),IFERROR(INDEX($R537:$R1119,MATCH(SUBSTITUTE($I536,"-","",1),$K537:$K1119,0)),INDEX($R537:$R1119,MATCH($K536,$K537:$K1119,0)))))</f>
        <v/>
      </c>
      <c r="S536" s="35" t="str">
        <f t="shared" si="2"/>
        <v/>
      </c>
      <c r="T536" s="37" t="str">
        <f t="shared" si="3"/>
        <v/>
      </c>
      <c r="U536" s="38" t="str">
        <f t="shared" si="4"/>
        <v/>
      </c>
      <c r="V536" s="31" t="str">
        <f t="shared" si="5"/>
        <v/>
      </c>
      <c r="W536" s="39" t="str">
        <f>IFERROR(__xludf.DUMMYFUNCTION(" IF(Account!$F536&lt;&gt;"""", SPLIT(Account!$F536, "" ""), """")"),"")</f>
        <v/>
      </c>
      <c r="X536" s="40"/>
      <c r="Y536" s="40"/>
      <c r="Z536" s="40"/>
      <c r="AA536" s="40"/>
      <c r="AB536" s="40"/>
      <c r="AC536" s="40"/>
      <c r="AD536" s="40"/>
      <c r="AE536" s="40"/>
      <c r="AF536" s="40"/>
      <c r="AG536" s="40"/>
      <c r="AH536" s="40"/>
      <c r="AI536" s="40"/>
      <c r="AJ536" s="40"/>
      <c r="AK536" s="40"/>
    </row>
    <row r="537">
      <c r="A537" s="10"/>
      <c r="B537" s="10"/>
      <c r="C537" s="10"/>
      <c r="D537" s="10"/>
      <c r="E537" s="10"/>
      <c r="F537" s="12"/>
      <c r="G537" s="300"/>
      <c r="H537" s="10"/>
      <c r="I537" s="10"/>
      <c r="J537" s="10"/>
      <c r="K537" s="10"/>
      <c r="L537" s="12"/>
      <c r="M537" s="29" t="str">
        <f t="shared" si="1"/>
        <v/>
      </c>
      <c r="N537" s="31" t="str">
        <f>IFERROR(__xludf.DUMMYFUNCTION("IF(Account!$F537&lt;&gt;"""", VALUE(REGEXREPLACE($I537, ""\,"", ""."")), """")"),"")</f>
        <v/>
      </c>
      <c r="O537" s="33" t="str">
        <f>IF(Account!$F537&lt;&gt;"", DATEVALUE(MID($A537,4,3) &amp; LEFT($A537,3) &amp; RIGHT($A537,4)) + TIMEVALUE($B537), "")</f>
        <v/>
      </c>
      <c r="P537" s="34" t="str">
        <f>IF(Account!$F537&lt;&gt;"", DATEVALUE(MID($C537,4,3) &amp; LEFT($C537,3) &amp; RIGHT($C537,4)), "")</f>
        <v/>
      </c>
      <c r="Q537" s="35" t="str">
        <f t="array" ref="Q537">IF($R537&lt;&gt;"",IFERROR(INDEX(Investment!$A:$A,MATCH($R537,Investment!$H:$H,0))),)</f>
        <v/>
      </c>
      <c r="R537" s="36" t="str">
        <f t="array" ref="R537">IF(AND($Y537="change",$H537="EUR"),IF(AND($AA537="Crédit",$O537=$O538),$R538,IF(AND($AA537="Débit",$O537=$O536),$R536)),IF(OR(AND(OR($E537&lt;&gt;"",$M537=""),$N537&lt;&gt;0),$A537=""),IFERROR(INDEX(Investment!$H:$H,MATCH($E537,Investment!$F:$F,0))),IFERROR(INDEX($R538:$R1119,MATCH(SUBSTITUTE($I537,"-","",1),$K538:$K1119,0)),INDEX($R538:$R1119,MATCH($K537,$K538:$K1119,0)))))</f>
        <v/>
      </c>
      <c r="S537" s="35" t="str">
        <f t="shared" si="2"/>
        <v/>
      </c>
      <c r="T537" s="37" t="str">
        <f t="shared" si="3"/>
        <v/>
      </c>
      <c r="U537" s="38" t="str">
        <f t="shared" si="4"/>
        <v/>
      </c>
      <c r="V537" s="31" t="str">
        <f t="shared" si="5"/>
        <v/>
      </c>
      <c r="W537" s="39" t="str">
        <f>IFERROR(__xludf.DUMMYFUNCTION(" IF(Account!$F537&lt;&gt;"""", SPLIT(Account!$F537, "" ""), """")"),"")</f>
        <v/>
      </c>
      <c r="X537" s="40"/>
      <c r="Y537" s="40"/>
      <c r="Z537" s="40"/>
      <c r="AA537" s="40"/>
      <c r="AB537" s="40"/>
      <c r="AC537" s="40"/>
      <c r="AD537" s="40"/>
      <c r="AE537" s="40"/>
      <c r="AF537" s="40"/>
      <c r="AG537" s="40"/>
      <c r="AH537" s="40"/>
      <c r="AI537" s="40"/>
      <c r="AJ537" s="40"/>
      <c r="AK537" s="40"/>
    </row>
    <row r="538">
      <c r="A538" s="10"/>
      <c r="B538" s="10"/>
      <c r="C538" s="10"/>
      <c r="D538" s="10"/>
      <c r="E538" s="10"/>
      <c r="F538" s="12"/>
      <c r="G538" s="10"/>
      <c r="H538" s="10"/>
      <c r="I538" s="10"/>
      <c r="J538" s="10"/>
      <c r="K538" s="10"/>
      <c r="L538" s="12"/>
      <c r="M538" s="29" t="str">
        <f t="shared" si="1"/>
        <v/>
      </c>
      <c r="N538" s="31" t="str">
        <f>IFERROR(__xludf.DUMMYFUNCTION("IF(Account!$F538&lt;&gt;"""", VALUE(REGEXREPLACE($I538, ""\,"", ""."")), """")"),"")</f>
        <v/>
      </c>
      <c r="O538" s="33" t="str">
        <f>IF(Account!$F538&lt;&gt;"", DATEVALUE(MID($A538,4,3) &amp; LEFT($A538,3) &amp; RIGHT($A538,4)) + TIMEVALUE($B538), "")</f>
        <v/>
      </c>
      <c r="P538" s="34" t="str">
        <f>IF(Account!$F538&lt;&gt;"", DATEVALUE(MID($C538,4,3) &amp; LEFT($C538,3) &amp; RIGHT($C538,4)), "")</f>
        <v/>
      </c>
      <c r="Q538" s="35" t="str">
        <f t="array" ref="Q538">IF($R538&lt;&gt;"",IFERROR(INDEX(Investment!$A:$A,MATCH($R538,Investment!$H:$H,0))),)</f>
        <v/>
      </c>
      <c r="R538" s="36" t="str">
        <f t="array" ref="R538">IF(AND($Y538="change",$H538="EUR"),IF(AND($AA538="Crédit",$O538=$O539),$R539,IF(AND($AA538="Débit",$O538=$O537),$R537)),IF(OR(AND(OR($E538&lt;&gt;"",$M538=""),$N538&lt;&gt;0),$A538=""),IFERROR(INDEX(Investment!$H:$H,MATCH($E538,Investment!$F:$F,0))),IFERROR(INDEX($R539:$R1119,MATCH(SUBSTITUTE($I538,"-","",1),$K539:$K1119,0)),INDEX($R539:$R1119,MATCH($K538,$K539:$K1119,0)))))</f>
        <v/>
      </c>
      <c r="S538" s="35" t="str">
        <f t="shared" si="2"/>
        <v/>
      </c>
      <c r="T538" s="37" t="str">
        <f t="shared" si="3"/>
        <v/>
      </c>
      <c r="U538" s="38" t="str">
        <f t="shared" si="4"/>
        <v/>
      </c>
      <c r="V538" s="31" t="str">
        <f t="shared" si="5"/>
        <v/>
      </c>
      <c r="W538" s="39" t="str">
        <f>IFERROR(__xludf.DUMMYFUNCTION(" IF(Account!$F538&lt;&gt;"""", SPLIT(Account!$F538, "" ""), """")"),"")</f>
        <v/>
      </c>
      <c r="X538" s="40"/>
      <c r="Y538" s="40"/>
      <c r="Z538" s="40"/>
      <c r="AA538" s="40"/>
      <c r="AB538" s="40"/>
      <c r="AC538" s="40"/>
      <c r="AD538" s="40"/>
      <c r="AE538" s="40"/>
      <c r="AF538" s="40"/>
      <c r="AG538" s="40"/>
      <c r="AH538" s="40"/>
      <c r="AI538" s="40"/>
      <c r="AJ538" s="40"/>
      <c r="AK538" s="40"/>
    </row>
    <row r="539">
      <c r="A539" s="10"/>
      <c r="B539" s="10"/>
      <c r="C539" s="10"/>
      <c r="D539" s="10"/>
      <c r="E539" s="10"/>
      <c r="F539" s="12"/>
      <c r="G539" s="300"/>
      <c r="H539" s="10"/>
      <c r="I539" s="10"/>
      <c r="J539" s="10"/>
      <c r="K539" s="10"/>
      <c r="L539" s="12"/>
      <c r="M539" s="29" t="str">
        <f t="shared" si="1"/>
        <v/>
      </c>
      <c r="N539" s="31" t="str">
        <f>IFERROR(__xludf.DUMMYFUNCTION("IF(Account!$F539&lt;&gt;"""", VALUE(REGEXREPLACE($I539, ""\,"", ""."")), """")"),"")</f>
        <v/>
      </c>
      <c r="O539" s="33" t="str">
        <f>IF(Account!$F539&lt;&gt;"", DATEVALUE(MID($A539,4,3) &amp; LEFT($A539,3) &amp; RIGHT($A539,4)) + TIMEVALUE($B539), "")</f>
        <v/>
      </c>
      <c r="P539" s="34" t="str">
        <f>IF(Account!$F539&lt;&gt;"", DATEVALUE(MID($C539,4,3) &amp; LEFT($C539,3) &amp; RIGHT($C539,4)), "")</f>
        <v/>
      </c>
      <c r="Q539" s="35" t="str">
        <f t="array" ref="Q539">IF($R539&lt;&gt;"",IFERROR(INDEX(Investment!$A:$A,MATCH($R539,Investment!$H:$H,0))),)</f>
        <v/>
      </c>
      <c r="R539" s="36" t="str">
        <f t="array" ref="R539">IF(AND($Y539="change",$H539="EUR"),IF(AND($AA539="Crédit",$O539=$O540),$R540,IF(AND($AA539="Débit",$O539=$O538),$R538)),IF(OR(AND(OR($E539&lt;&gt;"",$M539=""),$N539&lt;&gt;0),$A539=""),IFERROR(INDEX(Investment!$H:$H,MATCH($E539,Investment!$F:$F,0))),IFERROR(INDEX($R540:$R1119,MATCH(SUBSTITUTE($I539,"-","",1),$K540:$K1119,0)),INDEX($R540:$R1119,MATCH($K539,$K540:$K1119,0)))))</f>
        <v/>
      </c>
      <c r="S539" s="35" t="str">
        <f t="shared" si="2"/>
        <v/>
      </c>
      <c r="T539" s="37" t="str">
        <f t="shared" si="3"/>
        <v/>
      </c>
      <c r="U539" s="38" t="str">
        <f t="shared" si="4"/>
        <v/>
      </c>
      <c r="V539" s="31" t="str">
        <f t="shared" si="5"/>
        <v/>
      </c>
      <c r="W539" s="39" t="str">
        <f>IFERROR(__xludf.DUMMYFUNCTION(" IF(Account!$F539&lt;&gt;"""", SPLIT(Account!$F539, "" ""), """")"),"")</f>
        <v/>
      </c>
      <c r="X539" s="40"/>
      <c r="Y539" s="40"/>
      <c r="Z539" s="40"/>
      <c r="AA539" s="40"/>
      <c r="AB539" s="40"/>
      <c r="AC539" s="40"/>
      <c r="AD539" s="40"/>
      <c r="AE539" s="40"/>
      <c r="AF539" s="40"/>
      <c r="AG539" s="40"/>
      <c r="AH539" s="40"/>
      <c r="AI539" s="40"/>
      <c r="AJ539" s="40"/>
      <c r="AK539" s="40"/>
    </row>
    <row r="540">
      <c r="A540" s="10"/>
      <c r="B540" s="10"/>
      <c r="C540" s="10"/>
      <c r="D540" s="10"/>
      <c r="E540" s="10"/>
      <c r="F540" s="12"/>
      <c r="G540" s="10"/>
      <c r="H540" s="10"/>
      <c r="I540" s="10"/>
      <c r="J540" s="10"/>
      <c r="K540" s="10"/>
      <c r="L540" s="12"/>
      <c r="M540" s="29" t="str">
        <f t="shared" si="1"/>
        <v/>
      </c>
      <c r="N540" s="31" t="str">
        <f>IFERROR(__xludf.DUMMYFUNCTION("IF(Account!$F540&lt;&gt;"""", VALUE(REGEXREPLACE($I540, ""\,"", ""."")), """")"),"")</f>
        <v/>
      </c>
      <c r="O540" s="33" t="str">
        <f>IF(Account!$F540&lt;&gt;"", DATEVALUE(MID($A540,4,3) &amp; LEFT($A540,3) &amp; RIGHT($A540,4)) + TIMEVALUE($B540), "")</f>
        <v/>
      </c>
      <c r="P540" s="34" t="str">
        <f>IF(Account!$F540&lt;&gt;"", DATEVALUE(MID($C540,4,3) &amp; LEFT($C540,3) &amp; RIGHT($C540,4)), "")</f>
        <v/>
      </c>
      <c r="Q540" s="35" t="str">
        <f t="array" ref="Q540">IF($R540&lt;&gt;"",IFERROR(INDEX(Investment!$A:$A,MATCH($R540,Investment!$H:$H,0))),)</f>
        <v/>
      </c>
      <c r="R540" s="36" t="str">
        <f t="array" ref="R540">IF(AND($Y540="change",$H540="EUR"),IF(AND($AA540="Crédit",$O540=$O541),$R541,IF(AND($AA540="Débit",$O540=$O539),$R539)),IF(OR(AND(OR($E540&lt;&gt;"",$M540=""),$N540&lt;&gt;0),$A540=""),IFERROR(INDEX(Investment!$H:$H,MATCH($E540,Investment!$F:$F,0))),IFERROR(INDEX($R541:$R1119,MATCH(SUBSTITUTE($I540,"-","",1),$K541:$K1119,0)),INDEX($R541:$R1119,MATCH($K540,$K541:$K1119,0)))))</f>
        <v/>
      </c>
      <c r="S540" s="35" t="str">
        <f t="shared" si="2"/>
        <v/>
      </c>
      <c r="T540" s="37" t="str">
        <f t="shared" si="3"/>
        <v/>
      </c>
      <c r="U540" s="38" t="str">
        <f t="shared" si="4"/>
        <v/>
      </c>
      <c r="V540" s="31" t="str">
        <f t="shared" si="5"/>
        <v/>
      </c>
      <c r="W540" s="39" t="str">
        <f>IFERROR(__xludf.DUMMYFUNCTION(" IF(Account!$F540&lt;&gt;"""", SPLIT(Account!$F540, "" ""), """")"),"")</f>
        <v/>
      </c>
      <c r="X540" s="40"/>
      <c r="Y540" s="40"/>
      <c r="Z540" s="40"/>
      <c r="AA540" s="40"/>
      <c r="AB540" s="40"/>
      <c r="AC540" s="40"/>
      <c r="AD540" s="40"/>
      <c r="AE540" s="40"/>
      <c r="AF540" s="40"/>
      <c r="AG540" s="40"/>
      <c r="AH540" s="40"/>
      <c r="AI540" s="40"/>
      <c r="AJ540" s="40"/>
      <c r="AK540" s="40"/>
    </row>
    <row r="541">
      <c r="A541" s="10"/>
      <c r="B541" s="10"/>
      <c r="C541" s="10"/>
      <c r="D541" s="10"/>
      <c r="E541" s="10"/>
      <c r="F541" s="12"/>
      <c r="G541" s="300"/>
      <c r="H541" s="10"/>
      <c r="I541" s="10"/>
      <c r="J541" s="10"/>
      <c r="K541" s="10"/>
      <c r="L541" s="12"/>
      <c r="M541" s="29" t="str">
        <f t="shared" si="1"/>
        <v/>
      </c>
      <c r="N541" s="31" t="str">
        <f>IFERROR(__xludf.DUMMYFUNCTION("IF(Account!$F541&lt;&gt;"""", VALUE(REGEXREPLACE($I541, ""\,"", ""."")), """")"),"")</f>
        <v/>
      </c>
      <c r="O541" s="33" t="str">
        <f>IF(Account!$F541&lt;&gt;"", DATEVALUE(MID($A541,4,3) &amp; LEFT($A541,3) &amp; RIGHT($A541,4)) + TIMEVALUE($B541), "")</f>
        <v/>
      </c>
      <c r="P541" s="34" t="str">
        <f>IF(Account!$F541&lt;&gt;"", DATEVALUE(MID($C541,4,3) &amp; LEFT($C541,3) &amp; RIGHT($C541,4)), "")</f>
        <v/>
      </c>
      <c r="Q541" s="35" t="str">
        <f t="array" ref="Q541">IF($R541&lt;&gt;"",IFERROR(INDEX(Investment!$A:$A,MATCH($R541,Investment!$H:$H,0))),)</f>
        <v/>
      </c>
      <c r="R541" s="36" t="str">
        <f t="array" ref="R541">IF(AND($Y541="change",$H541="EUR"),IF(AND($AA541="Crédit",$O541=$O542),$R542,IF(AND($AA541="Débit",$O541=$O540),$R540)),IF(OR(AND(OR($E541&lt;&gt;"",$M541=""),$N541&lt;&gt;0),$A541=""),IFERROR(INDEX(Investment!$H:$H,MATCH($E541,Investment!$F:$F,0))),IFERROR(INDEX($R542:$R1119,MATCH(SUBSTITUTE($I541,"-","",1),$K542:$K1119,0)),INDEX($R542:$R1119,MATCH($K541,$K542:$K1119,0)))))</f>
        <v/>
      </c>
      <c r="S541" s="35" t="str">
        <f t="shared" si="2"/>
        <v/>
      </c>
      <c r="T541" s="37" t="str">
        <f t="shared" si="3"/>
        <v/>
      </c>
      <c r="U541" s="38" t="str">
        <f t="shared" si="4"/>
        <v/>
      </c>
      <c r="V541" s="31" t="str">
        <f t="shared" si="5"/>
        <v/>
      </c>
      <c r="W541" s="39" t="str">
        <f>IFERROR(__xludf.DUMMYFUNCTION(" IF(Account!$F541&lt;&gt;"""", SPLIT(Account!$F541, "" ""), """")"),"")</f>
        <v/>
      </c>
      <c r="X541" s="40"/>
      <c r="Y541" s="40"/>
      <c r="Z541" s="40"/>
      <c r="AA541" s="40"/>
      <c r="AB541" s="40"/>
      <c r="AC541" s="40"/>
      <c r="AD541" s="40"/>
      <c r="AE541" s="40"/>
      <c r="AF541" s="40"/>
      <c r="AG541" s="40"/>
      <c r="AH541" s="40"/>
      <c r="AI541" s="40"/>
      <c r="AJ541" s="40"/>
      <c r="AK541" s="40"/>
    </row>
    <row r="542">
      <c r="A542" s="10"/>
      <c r="B542" s="10"/>
      <c r="C542" s="10"/>
      <c r="D542" s="10"/>
      <c r="E542" s="10"/>
      <c r="F542" s="12"/>
      <c r="G542" s="10"/>
      <c r="H542" s="10"/>
      <c r="I542" s="10"/>
      <c r="J542" s="10"/>
      <c r="K542" s="10"/>
      <c r="L542" s="12"/>
      <c r="M542" s="29" t="str">
        <f t="shared" si="1"/>
        <v/>
      </c>
      <c r="N542" s="31" t="str">
        <f>IFERROR(__xludf.DUMMYFUNCTION("IF(Account!$F542&lt;&gt;"""", VALUE(REGEXREPLACE($I542, ""\,"", ""."")), """")"),"")</f>
        <v/>
      </c>
      <c r="O542" s="33" t="str">
        <f>IF(Account!$F542&lt;&gt;"", DATEVALUE(MID($A542,4,3) &amp; LEFT($A542,3) &amp; RIGHT($A542,4)) + TIMEVALUE($B542), "")</f>
        <v/>
      </c>
      <c r="P542" s="34" t="str">
        <f>IF(Account!$F542&lt;&gt;"", DATEVALUE(MID($C542,4,3) &amp; LEFT($C542,3) &amp; RIGHT($C542,4)), "")</f>
        <v/>
      </c>
      <c r="Q542" s="35" t="str">
        <f t="array" ref="Q542">IF($R542&lt;&gt;"",IFERROR(INDEX(Investment!$A:$A,MATCH($R542,Investment!$H:$H,0))),)</f>
        <v/>
      </c>
      <c r="R542" s="36" t="str">
        <f t="array" ref="R542">IF(AND($Y542="change",$H542="EUR"),IF(AND($AA542="Crédit",$O542=$O543),$R543,IF(AND($AA542="Débit",$O542=$O541),$R541)),IF(OR(AND(OR($E542&lt;&gt;"",$M542=""),$N542&lt;&gt;0),$A542=""),IFERROR(INDEX(Investment!$H:$H,MATCH($E542,Investment!$F:$F,0))),IFERROR(INDEX($R543:$R1119,MATCH(SUBSTITUTE($I542,"-","",1),$K543:$K1119,0)),INDEX($R543:$R1119,MATCH($K542,$K543:$K1119,0)))))</f>
        <v/>
      </c>
      <c r="S542" s="35" t="str">
        <f t="shared" si="2"/>
        <v/>
      </c>
      <c r="T542" s="37" t="str">
        <f t="shared" si="3"/>
        <v/>
      </c>
      <c r="U542" s="38" t="str">
        <f t="shared" si="4"/>
        <v/>
      </c>
      <c r="V542" s="31" t="str">
        <f t="shared" si="5"/>
        <v/>
      </c>
      <c r="W542" s="39" t="str">
        <f>IFERROR(__xludf.DUMMYFUNCTION(" IF(Account!$F542&lt;&gt;"""", SPLIT(Account!$F542, "" ""), """")"),"")</f>
        <v/>
      </c>
      <c r="X542" s="40"/>
      <c r="Y542" s="40"/>
      <c r="Z542" s="40"/>
      <c r="AA542" s="40"/>
      <c r="AB542" s="40"/>
      <c r="AC542" s="40"/>
      <c r="AD542" s="40"/>
      <c r="AE542" s="40"/>
      <c r="AF542" s="40"/>
      <c r="AG542" s="40"/>
      <c r="AH542" s="40"/>
      <c r="AI542" s="40"/>
      <c r="AJ542" s="40"/>
      <c r="AK542" s="40"/>
    </row>
    <row r="543">
      <c r="A543" s="10"/>
      <c r="B543" s="10"/>
      <c r="C543" s="10"/>
      <c r="D543" s="10"/>
      <c r="E543" s="10"/>
      <c r="F543" s="12"/>
      <c r="G543" s="300"/>
      <c r="H543" s="10"/>
      <c r="I543" s="10"/>
      <c r="J543" s="10"/>
      <c r="K543" s="10"/>
      <c r="L543" s="12"/>
      <c r="M543" s="29" t="str">
        <f t="shared" si="1"/>
        <v/>
      </c>
      <c r="N543" s="31" t="str">
        <f>IFERROR(__xludf.DUMMYFUNCTION("IF(Account!$F543&lt;&gt;"""", VALUE(REGEXREPLACE($I543, ""\,"", ""."")), """")"),"")</f>
        <v/>
      </c>
      <c r="O543" s="33" t="str">
        <f>IF(Account!$F543&lt;&gt;"", DATEVALUE(MID($A543,4,3) &amp; LEFT($A543,3) &amp; RIGHT($A543,4)) + TIMEVALUE($B543), "")</f>
        <v/>
      </c>
      <c r="P543" s="34" t="str">
        <f>IF(Account!$F543&lt;&gt;"", DATEVALUE(MID($C543,4,3) &amp; LEFT($C543,3) &amp; RIGHT($C543,4)), "")</f>
        <v/>
      </c>
      <c r="Q543" s="35" t="str">
        <f t="array" ref="Q543">IF($R543&lt;&gt;"",IFERROR(INDEX(Investment!$A:$A,MATCH($R543,Investment!$H:$H,0))),)</f>
        <v/>
      </c>
      <c r="R543" s="36" t="str">
        <f t="array" ref="R543">IF(AND($Y543="change",$H543="EUR"),IF(AND($AA543="Crédit",$O543=$O544),$R544,IF(AND($AA543="Débit",$O543=$O542),$R542)),IF(OR(AND(OR($E543&lt;&gt;"",$M543=""),$N543&lt;&gt;0),$A543=""),IFERROR(INDEX(Investment!$H:$H,MATCH($E543,Investment!$F:$F,0))),IFERROR(INDEX($R544:$R1119,MATCH(SUBSTITUTE($I543,"-","",1),$K544:$K1119,0)),INDEX($R544:$R1119,MATCH($K543,$K544:$K1119,0)))))</f>
        <v/>
      </c>
      <c r="S543" s="35" t="str">
        <f t="shared" si="2"/>
        <v/>
      </c>
      <c r="T543" s="37" t="str">
        <f t="shared" si="3"/>
        <v/>
      </c>
      <c r="U543" s="38" t="str">
        <f t="shared" si="4"/>
        <v/>
      </c>
      <c r="V543" s="31" t="str">
        <f t="shared" si="5"/>
        <v/>
      </c>
      <c r="W543" s="39" t="str">
        <f>IFERROR(__xludf.DUMMYFUNCTION(" IF(Account!$F543&lt;&gt;"""", SPLIT(Account!$F543, "" ""), """")"),"")</f>
        <v/>
      </c>
      <c r="X543" s="40"/>
      <c r="Y543" s="40"/>
      <c r="Z543" s="40"/>
      <c r="AA543" s="40"/>
      <c r="AB543" s="40"/>
      <c r="AC543" s="40"/>
      <c r="AD543" s="40"/>
      <c r="AE543" s="40"/>
      <c r="AF543" s="40"/>
      <c r="AG543" s="40"/>
      <c r="AH543" s="40"/>
      <c r="AI543" s="40"/>
      <c r="AJ543" s="40"/>
      <c r="AK543" s="40"/>
    </row>
    <row r="544">
      <c r="A544" s="10"/>
      <c r="B544" s="10"/>
      <c r="C544" s="10"/>
      <c r="D544" s="10"/>
      <c r="E544" s="10"/>
      <c r="F544" s="12"/>
      <c r="G544" s="10"/>
      <c r="H544" s="10"/>
      <c r="I544" s="10"/>
      <c r="J544" s="10"/>
      <c r="K544" s="10"/>
      <c r="L544" s="12"/>
      <c r="M544" s="29" t="str">
        <f t="shared" si="1"/>
        <v/>
      </c>
      <c r="N544" s="31" t="str">
        <f>IFERROR(__xludf.DUMMYFUNCTION("IF(Account!$F544&lt;&gt;"""", VALUE(REGEXREPLACE($I544, ""\,"", ""."")), """")"),"")</f>
        <v/>
      </c>
      <c r="O544" s="33" t="str">
        <f>IF(Account!$F544&lt;&gt;"", DATEVALUE(MID($A544,4,3) &amp; LEFT($A544,3) &amp; RIGHT($A544,4)) + TIMEVALUE($B544), "")</f>
        <v/>
      </c>
      <c r="P544" s="34" t="str">
        <f>IF(Account!$F544&lt;&gt;"", DATEVALUE(MID($C544,4,3) &amp; LEFT($C544,3) &amp; RIGHT($C544,4)), "")</f>
        <v/>
      </c>
      <c r="Q544" s="35" t="str">
        <f t="array" ref="Q544">IF($R544&lt;&gt;"",IFERROR(INDEX(Investment!$A:$A,MATCH($R544,Investment!$H:$H,0))),)</f>
        <v/>
      </c>
      <c r="R544" s="36" t="str">
        <f t="array" ref="R544">IF(AND($Y544="change",$H544="EUR"),IF(AND($AA544="Crédit",$O544=$O545),$R545,IF(AND($AA544="Débit",$O544=$O543),$R543)),IF(OR(AND(OR($E544&lt;&gt;"",$M544=""),$N544&lt;&gt;0),$A544=""),IFERROR(INDEX(Investment!$H:$H,MATCH($E544,Investment!$F:$F,0))),IFERROR(INDEX($R545:$R1119,MATCH(SUBSTITUTE($I544,"-","",1),$K545:$K1119,0)),INDEX($R545:$R1119,MATCH($K544,$K545:$K1119,0)))))</f>
        <v/>
      </c>
      <c r="S544" s="35" t="str">
        <f t="shared" si="2"/>
        <v/>
      </c>
      <c r="T544" s="37" t="str">
        <f t="shared" si="3"/>
        <v/>
      </c>
      <c r="U544" s="38" t="str">
        <f t="shared" si="4"/>
        <v/>
      </c>
      <c r="V544" s="31" t="str">
        <f t="shared" si="5"/>
        <v/>
      </c>
      <c r="W544" s="39" t="str">
        <f>IFERROR(__xludf.DUMMYFUNCTION(" IF(Account!$F544&lt;&gt;"""", SPLIT(Account!$F544, "" ""), """")"),"")</f>
        <v/>
      </c>
      <c r="X544" s="40"/>
      <c r="Y544" s="40"/>
      <c r="Z544" s="40"/>
      <c r="AA544" s="40"/>
      <c r="AB544" s="40"/>
      <c r="AC544" s="40"/>
      <c r="AD544" s="40"/>
      <c r="AE544" s="40"/>
      <c r="AF544" s="40"/>
      <c r="AG544" s="40"/>
      <c r="AH544" s="40"/>
      <c r="AI544" s="40"/>
      <c r="AJ544" s="40"/>
      <c r="AK544" s="40"/>
    </row>
    <row r="545">
      <c r="A545" s="10"/>
      <c r="B545" s="10"/>
      <c r="C545" s="10"/>
      <c r="D545" s="10"/>
      <c r="E545" s="10"/>
      <c r="F545" s="12"/>
      <c r="G545" s="300"/>
      <c r="H545" s="10"/>
      <c r="I545" s="10"/>
      <c r="J545" s="10"/>
      <c r="K545" s="10"/>
      <c r="L545" s="12"/>
      <c r="M545" s="29" t="str">
        <f t="shared" si="1"/>
        <v/>
      </c>
      <c r="N545" s="31" t="str">
        <f>IFERROR(__xludf.DUMMYFUNCTION("IF(Account!$F545&lt;&gt;"""", VALUE(REGEXREPLACE($I545, ""\,"", ""."")), """")"),"")</f>
        <v/>
      </c>
      <c r="O545" s="33" t="str">
        <f>IF(Account!$F545&lt;&gt;"", DATEVALUE(MID($A545,4,3) &amp; LEFT($A545,3) &amp; RIGHT($A545,4)) + TIMEVALUE($B545), "")</f>
        <v/>
      </c>
      <c r="P545" s="34" t="str">
        <f>IF(Account!$F545&lt;&gt;"", DATEVALUE(MID($C545,4,3) &amp; LEFT($C545,3) &amp; RIGHT($C545,4)), "")</f>
        <v/>
      </c>
      <c r="Q545" s="35" t="str">
        <f t="array" ref="Q545">IF($R545&lt;&gt;"",IFERROR(INDEX(Investment!$A:$A,MATCH($R545,Investment!$H:$H,0))),)</f>
        <v/>
      </c>
      <c r="R545" s="36" t="str">
        <f t="array" ref="R545">IF(AND($Y545="change",$H545="EUR"),IF(AND($AA545="Crédit",$O545=$O546),$R546,IF(AND($AA545="Débit",$O545=$O544),$R544)),IF(OR(AND(OR($E545&lt;&gt;"",$M545=""),$N545&lt;&gt;0),$A545=""),IFERROR(INDEX(Investment!$H:$H,MATCH($E545,Investment!$F:$F,0))),IFERROR(INDEX($R546:$R1119,MATCH(SUBSTITUTE($I545,"-","",1),$K546:$K1119,0)),INDEX($R546:$R1119,MATCH($K545,$K546:$K1119,0)))))</f>
        <v/>
      </c>
      <c r="S545" s="35" t="str">
        <f t="shared" si="2"/>
        <v/>
      </c>
      <c r="T545" s="37" t="str">
        <f t="shared" si="3"/>
        <v/>
      </c>
      <c r="U545" s="38" t="str">
        <f t="shared" si="4"/>
        <v/>
      </c>
      <c r="V545" s="31" t="str">
        <f t="shared" si="5"/>
        <v/>
      </c>
      <c r="W545" s="39" t="str">
        <f>IFERROR(__xludf.DUMMYFUNCTION(" IF(Account!$F545&lt;&gt;"""", SPLIT(Account!$F545, "" ""), """")"),"")</f>
        <v/>
      </c>
      <c r="X545" s="40"/>
      <c r="Y545" s="40"/>
      <c r="Z545" s="40"/>
      <c r="AA545" s="40"/>
      <c r="AB545" s="40"/>
      <c r="AC545" s="40"/>
      <c r="AD545" s="40"/>
      <c r="AE545" s="40"/>
      <c r="AF545" s="40"/>
      <c r="AG545" s="40"/>
      <c r="AH545" s="40"/>
      <c r="AI545" s="40"/>
      <c r="AJ545" s="40"/>
      <c r="AK545" s="40"/>
    </row>
    <row r="546">
      <c r="A546" s="10"/>
      <c r="B546" s="10"/>
      <c r="C546" s="10"/>
      <c r="D546" s="10"/>
      <c r="E546" s="10"/>
      <c r="F546" s="12"/>
      <c r="G546" s="300"/>
      <c r="H546" s="10"/>
      <c r="I546" s="10"/>
      <c r="J546" s="10"/>
      <c r="K546" s="10"/>
      <c r="L546" s="12"/>
      <c r="M546" s="29" t="str">
        <f t="shared" si="1"/>
        <v/>
      </c>
      <c r="N546" s="31" t="str">
        <f>IFERROR(__xludf.DUMMYFUNCTION("IF(Account!$F546&lt;&gt;"""", VALUE(REGEXREPLACE($I546, ""\,"", ""."")), """")"),"")</f>
        <v/>
      </c>
      <c r="O546" s="33" t="str">
        <f>IF(Account!$F546&lt;&gt;"", DATEVALUE(MID($A546,4,3) &amp; LEFT($A546,3) &amp; RIGHT($A546,4)) + TIMEVALUE($B546), "")</f>
        <v/>
      </c>
      <c r="P546" s="34" t="str">
        <f>IF(Account!$F546&lt;&gt;"", DATEVALUE(MID($C546,4,3) &amp; LEFT($C546,3) &amp; RIGHT($C546,4)), "")</f>
        <v/>
      </c>
      <c r="Q546" s="35" t="str">
        <f t="array" ref="Q546">IF($R546&lt;&gt;"",IFERROR(INDEX(Investment!$A:$A,MATCH($R546,Investment!$H:$H,0))),)</f>
        <v/>
      </c>
      <c r="R546" s="36" t="str">
        <f t="array" ref="R546">IF(AND($Y546="change",$H546="EUR"),IF(AND($AA546="Crédit",$O546=$O547),$R547,IF(AND($AA546="Débit",$O546=$O545),$R545)),IF(OR(AND(OR($E546&lt;&gt;"",$M546=""),$N546&lt;&gt;0),$A546=""),IFERROR(INDEX(Investment!$H:$H,MATCH($E546,Investment!$F:$F,0))),IFERROR(INDEX($R547:$R1119,MATCH(SUBSTITUTE($I546,"-","",1),$K547:$K1119,0)),INDEX($R547:$R1119,MATCH($K546,$K547:$K1119,0)))))</f>
        <v/>
      </c>
      <c r="S546" s="35" t="str">
        <f t="shared" si="2"/>
        <v/>
      </c>
      <c r="T546" s="37" t="str">
        <f t="shared" si="3"/>
        <v/>
      </c>
      <c r="U546" s="38" t="str">
        <f t="shared" si="4"/>
        <v/>
      </c>
      <c r="V546" s="31" t="str">
        <f t="shared" si="5"/>
        <v/>
      </c>
      <c r="W546" s="39" t="str">
        <f>IFERROR(__xludf.DUMMYFUNCTION(" IF(Account!$F546&lt;&gt;"""", SPLIT(Account!$F546, "" ""), """")"),"")</f>
        <v/>
      </c>
      <c r="X546" s="40"/>
      <c r="Y546" s="40"/>
      <c r="Z546" s="40"/>
      <c r="AA546" s="40"/>
      <c r="AB546" s="40"/>
      <c r="AC546" s="40"/>
      <c r="AD546" s="40"/>
      <c r="AE546" s="40"/>
      <c r="AF546" s="40"/>
      <c r="AG546" s="40"/>
      <c r="AH546" s="40"/>
      <c r="AI546" s="40"/>
      <c r="AJ546" s="40"/>
      <c r="AK546" s="40"/>
    </row>
    <row r="547">
      <c r="A547" s="10"/>
      <c r="B547" s="10"/>
      <c r="C547" s="10"/>
      <c r="D547" s="10"/>
      <c r="E547" s="10"/>
      <c r="F547" s="12"/>
      <c r="G547" s="300"/>
      <c r="H547" s="10"/>
      <c r="I547" s="10"/>
      <c r="J547" s="10"/>
      <c r="K547" s="10"/>
      <c r="L547" s="12"/>
      <c r="M547" s="29" t="str">
        <f t="shared" si="1"/>
        <v/>
      </c>
      <c r="N547" s="31" t="str">
        <f>IFERROR(__xludf.DUMMYFUNCTION("IF(Account!$F547&lt;&gt;"""", VALUE(REGEXREPLACE($I547, ""\,"", ""."")), """")"),"")</f>
        <v/>
      </c>
      <c r="O547" s="33" t="str">
        <f>IF(Account!$F547&lt;&gt;"", DATEVALUE(MID($A547,4,3) &amp; LEFT($A547,3) &amp; RIGHT($A547,4)) + TIMEVALUE($B547), "")</f>
        <v/>
      </c>
      <c r="P547" s="34" t="str">
        <f>IF(Account!$F547&lt;&gt;"", DATEVALUE(MID($C547,4,3) &amp; LEFT($C547,3) &amp; RIGHT($C547,4)), "")</f>
        <v/>
      </c>
      <c r="Q547" s="35" t="str">
        <f t="array" ref="Q547">IF($R547&lt;&gt;"",IFERROR(INDEX(Investment!$A:$A,MATCH($R547,Investment!$H:$H,0))),)</f>
        <v/>
      </c>
      <c r="R547" s="36" t="str">
        <f t="array" ref="R547">IF(AND($Y547="change",$H547="EUR"),IF(AND($AA547="Crédit",$O547=$O548),$R548,IF(AND($AA547="Débit",$O547=$O546),$R546)),IF(OR(AND(OR($E547&lt;&gt;"",$M547=""),$N547&lt;&gt;0),$A547=""),IFERROR(INDEX(Investment!$H:$H,MATCH($E547,Investment!$F:$F,0))),IFERROR(INDEX($R548:$R1119,MATCH(SUBSTITUTE($I547,"-","",1),$K548:$K1119,0)),INDEX($R548:$R1119,MATCH($K547,$K548:$K1119,0)))))</f>
        <v/>
      </c>
      <c r="S547" s="35" t="str">
        <f t="shared" si="2"/>
        <v/>
      </c>
      <c r="T547" s="37" t="str">
        <f t="shared" si="3"/>
        <v/>
      </c>
      <c r="U547" s="38" t="str">
        <f t="shared" si="4"/>
        <v/>
      </c>
      <c r="V547" s="31" t="str">
        <f t="shared" si="5"/>
        <v/>
      </c>
      <c r="W547" s="39" t="str">
        <f>IFERROR(__xludf.DUMMYFUNCTION(" IF(Account!$F547&lt;&gt;"""", SPLIT(Account!$F547, "" ""), """")"),"")</f>
        <v/>
      </c>
      <c r="X547" s="40"/>
      <c r="Y547" s="40"/>
      <c r="Z547" s="40"/>
      <c r="AA547" s="40"/>
      <c r="AB547" s="40"/>
      <c r="AC547" s="40"/>
      <c r="AD547" s="40"/>
      <c r="AE547" s="40"/>
      <c r="AF547" s="40"/>
      <c r="AG547" s="40"/>
      <c r="AH547" s="40"/>
      <c r="AI547" s="40"/>
      <c r="AJ547" s="40"/>
      <c r="AK547" s="40"/>
    </row>
    <row r="548">
      <c r="A548" s="10"/>
      <c r="B548" s="10"/>
      <c r="C548" s="10"/>
      <c r="D548" s="10"/>
      <c r="E548" s="10"/>
      <c r="F548" s="12"/>
      <c r="G548" s="300"/>
      <c r="H548" s="10"/>
      <c r="I548" s="10"/>
      <c r="J548" s="10"/>
      <c r="K548" s="10"/>
      <c r="L548" s="12"/>
      <c r="M548" s="29" t="str">
        <f t="shared" si="1"/>
        <v/>
      </c>
      <c r="N548" s="31" t="str">
        <f>IFERROR(__xludf.DUMMYFUNCTION("IF(Account!$F548&lt;&gt;"""", VALUE(REGEXREPLACE($I548, ""\,"", ""."")), """")"),"")</f>
        <v/>
      </c>
      <c r="O548" s="33" t="str">
        <f>IF(Account!$F548&lt;&gt;"", DATEVALUE(MID($A548,4,3) &amp; LEFT($A548,3) &amp; RIGHT($A548,4)) + TIMEVALUE($B548), "")</f>
        <v/>
      </c>
      <c r="P548" s="34" t="str">
        <f>IF(Account!$F548&lt;&gt;"", DATEVALUE(MID($C548,4,3) &amp; LEFT($C548,3) &amp; RIGHT($C548,4)), "")</f>
        <v/>
      </c>
      <c r="Q548" s="35" t="str">
        <f t="array" ref="Q548">IF($R548&lt;&gt;"",IFERROR(INDEX(Investment!$A:$A,MATCH($R548,Investment!$H:$H,0))),)</f>
        <v/>
      </c>
      <c r="R548" s="36" t="str">
        <f t="array" ref="R548">IF(AND($Y548="change",$H548="EUR"),IF(AND($AA548="Crédit",$O548=$O549),$R549,IF(AND($AA548="Débit",$O548=$O547),$R547)),IF(OR(AND(OR($E548&lt;&gt;"",$M548=""),$N548&lt;&gt;0),$A548=""),IFERROR(INDEX(Investment!$H:$H,MATCH($E548,Investment!$F:$F,0))),IFERROR(INDEX($R549:$R1119,MATCH(SUBSTITUTE($I548,"-","",1),$K549:$K1119,0)),INDEX($R549:$R1119,MATCH($K548,$K549:$K1119,0)))))</f>
        <v/>
      </c>
      <c r="S548" s="35" t="str">
        <f t="shared" si="2"/>
        <v/>
      </c>
      <c r="T548" s="37" t="str">
        <f t="shared" si="3"/>
        <v/>
      </c>
      <c r="U548" s="38" t="str">
        <f t="shared" si="4"/>
        <v/>
      </c>
      <c r="V548" s="31" t="str">
        <f t="shared" si="5"/>
        <v/>
      </c>
      <c r="W548" s="39" t="str">
        <f>IFERROR(__xludf.DUMMYFUNCTION(" IF(Account!$F548&lt;&gt;"""", SPLIT(Account!$F548, "" ""), """")"),"")</f>
        <v/>
      </c>
      <c r="X548" s="40"/>
      <c r="Y548" s="40"/>
      <c r="Z548" s="40"/>
      <c r="AA548" s="40"/>
      <c r="AB548" s="40"/>
      <c r="AC548" s="40"/>
      <c r="AD548" s="40"/>
      <c r="AE548" s="40"/>
      <c r="AF548" s="40"/>
      <c r="AG548" s="40"/>
      <c r="AH548" s="40"/>
      <c r="AI548" s="40"/>
      <c r="AJ548" s="40"/>
      <c r="AK548" s="40"/>
    </row>
    <row r="549">
      <c r="A549" s="10"/>
      <c r="B549" s="10"/>
      <c r="C549" s="10"/>
      <c r="D549" s="10"/>
      <c r="E549" s="10"/>
      <c r="F549" s="12"/>
      <c r="G549" s="300"/>
      <c r="H549" s="10"/>
      <c r="I549" s="10"/>
      <c r="J549" s="10"/>
      <c r="K549" s="10"/>
      <c r="L549" s="12"/>
      <c r="M549" s="29" t="str">
        <f t="shared" si="1"/>
        <v/>
      </c>
      <c r="N549" s="31" t="str">
        <f>IFERROR(__xludf.DUMMYFUNCTION("IF(Account!$F549&lt;&gt;"""", VALUE(REGEXREPLACE($I549, ""\,"", ""."")), """")"),"")</f>
        <v/>
      </c>
      <c r="O549" s="33" t="str">
        <f>IF(Account!$F549&lt;&gt;"", DATEVALUE(MID($A549,4,3) &amp; LEFT($A549,3) &amp; RIGHT($A549,4)) + TIMEVALUE($B549), "")</f>
        <v/>
      </c>
      <c r="P549" s="34" t="str">
        <f>IF(Account!$F549&lt;&gt;"", DATEVALUE(MID($C549,4,3) &amp; LEFT($C549,3) &amp; RIGHT($C549,4)), "")</f>
        <v/>
      </c>
      <c r="Q549" s="35" t="str">
        <f t="array" ref="Q549">IF($R549&lt;&gt;"",IFERROR(INDEX(Investment!$A:$A,MATCH($R549,Investment!$H:$H,0))),)</f>
        <v/>
      </c>
      <c r="R549" s="36" t="str">
        <f t="array" ref="R549">IF(AND($Y549="change",$H549="EUR"),IF(AND($AA549="Crédit",$O549=$O550),$R550,IF(AND($AA549="Débit",$O549=$O548),$R548)),IF(OR(AND(OR($E549&lt;&gt;"",$M549=""),$N549&lt;&gt;0),$A549=""),IFERROR(INDEX(Investment!$H:$H,MATCH($E549,Investment!$F:$F,0))),IFERROR(INDEX($R550:$R1119,MATCH(SUBSTITUTE($I549,"-","",1),$K550:$K1119,0)),INDEX($R550:$R1119,MATCH($K549,$K550:$K1119,0)))))</f>
        <v/>
      </c>
      <c r="S549" s="35" t="str">
        <f t="shared" si="2"/>
        <v/>
      </c>
      <c r="T549" s="37" t="str">
        <f t="shared" si="3"/>
        <v/>
      </c>
      <c r="U549" s="38" t="str">
        <f t="shared" si="4"/>
        <v/>
      </c>
      <c r="V549" s="31" t="str">
        <f t="shared" si="5"/>
        <v/>
      </c>
      <c r="W549" s="39" t="str">
        <f>IFERROR(__xludf.DUMMYFUNCTION(" IF(Account!$F549&lt;&gt;"""", SPLIT(Account!$F549, "" ""), """")"),"")</f>
        <v/>
      </c>
      <c r="X549" s="40"/>
      <c r="Y549" s="40"/>
      <c r="Z549" s="40"/>
      <c r="AA549" s="40"/>
      <c r="AB549" s="40"/>
      <c r="AC549" s="40"/>
      <c r="AD549" s="40"/>
      <c r="AE549" s="40"/>
      <c r="AF549" s="40"/>
      <c r="AG549" s="40"/>
      <c r="AH549" s="40"/>
      <c r="AI549" s="40"/>
      <c r="AJ549" s="40"/>
      <c r="AK549" s="40"/>
    </row>
    <row r="550">
      <c r="A550" s="10"/>
      <c r="B550" s="10"/>
      <c r="C550" s="10"/>
      <c r="D550" s="10"/>
      <c r="E550" s="10"/>
      <c r="F550" s="12"/>
      <c r="G550" s="10"/>
      <c r="H550" s="10"/>
      <c r="I550" s="10"/>
      <c r="J550" s="10"/>
      <c r="K550" s="10"/>
      <c r="L550" s="12"/>
      <c r="M550" s="29" t="str">
        <f t="shared" si="1"/>
        <v/>
      </c>
      <c r="N550" s="31" t="str">
        <f>IFERROR(__xludf.DUMMYFUNCTION("IF(Account!$F550&lt;&gt;"""", VALUE(REGEXREPLACE($I550, ""\,"", ""."")), """")"),"")</f>
        <v/>
      </c>
      <c r="O550" s="33" t="str">
        <f>IF(Account!$F550&lt;&gt;"", DATEVALUE(MID($A550,4,3) &amp; LEFT($A550,3) &amp; RIGHT($A550,4)) + TIMEVALUE($B550), "")</f>
        <v/>
      </c>
      <c r="P550" s="34" t="str">
        <f>IF(Account!$F550&lt;&gt;"", DATEVALUE(MID($C550,4,3) &amp; LEFT($C550,3) &amp; RIGHT($C550,4)), "")</f>
        <v/>
      </c>
      <c r="Q550" s="35" t="str">
        <f t="array" ref="Q550">IF($R550&lt;&gt;"",IFERROR(INDEX(Investment!$A:$A,MATCH($R550,Investment!$H:$H,0))),)</f>
        <v/>
      </c>
      <c r="R550" s="36" t="str">
        <f t="array" ref="R550">IF(AND($Y550="change",$H550="EUR"),IF(AND($AA550="Crédit",$O550=$O551),$R551,IF(AND($AA550="Débit",$O550=$O549),$R549)),IF(OR(AND(OR($E550&lt;&gt;"",$M550=""),$N550&lt;&gt;0),$A550=""),IFERROR(INDEX(Investment!$H:$H,MATCH($E550,Investment!$F:$F,0))),IFERROR(INDEX($R551:$R1119,MATCH(SUBSTITUTE($I550,"-","",1),$K551:$K1119,0)),INDEX($R551:$R1119,MATCH($K550,$K551:$K1119,0)))))</f>
        <v/>
      </c>
      <c r="S550" s="35" t="str">
        <f t="shared" si="2"/>
        <v/>
      </c>
      <c r="T550" s="37" t="str">
        <f t="shared" si="3"/>
        <v/>
      </c>
      <c r="U550" s="38" t="str">
        <f t="shared" si="4"/>
        <v/>
      </c>
      <c r="V550" s="31" t="str">
        <f t="shared" si="5"/>
        <v/>
      </c>
      <c r="W550" s="39" t="str">
        <f>IFERROR(__xludf.DUMMYFUNCTION(" IF(Account!$F550&lt;&gt;"""", SPLIT(Account!$F550, "" ""), """")"),"")</f>
        <v/>
      </c>
      <c r="X550" s="40"/>
      <c r="Y550" s="40"/>
      <c r="Z550" s="40"/>
      <c r="AA550" s="40"/>
      <c r="AB550" s="40"/>
      <c r="AC550" s="40"/>
      <c r="AD550" s="40"/>
      <c r="AE550" s="40"/>
      <c r="AF550" s="40"/>
      <c r="AG550" s="40"/>
      <c r="AH550" s="40"/>
      <c r="AI550" s="40"/>
      <c r="AJ550" s="40"/>
      <c r="AK550" s="40"/>
    </row>
    <row r="551">
      <c r="A551" s="10"/>
      <c r="B551" s="10"/>
      <c r="C551" s="10"/>
      <c r="D551" s="10"/>
      <c r="E551" s="10"/>
      <c r="F551" s="12"/>
      <c r="G551" s="300"/>
      <c r="H551" s="10"/>
      <c r="I551" s="10"/>
      <c r="J551" s="10"/>
      <c r="K551" s="10"/>
      <c r="L551" s="12"/>
      <c r="M551" s="29" t="str">
        <f t="shared" si="1"/>
        <v/>
      </c>
      <c r="N551" s="31" t="str">
        <f>IFERROR(__xludf.DUMMYFUNCTION("IF(Account!$F551&lt;&gt;"""", VALUE(REGEXREPLACE($I551, ""\,"", ""."")), """")"),"")</f>
        <v/>
      </c>
      <c r="O551" s="33" t="str">
        <f>IF(Account!$F551&lt;&gt;"", DATEVALUE(MID($A551,4,3) &amp; LEFT($A551,3) &amp; RIGHT($A551,4)) + TIMEVALUE($B551), "")</f>
        <v/>
      </c>
      <c r="P551" s="34" t="str">
        <f>IF(Account!$F551&lt;&gt;"", DATEVALUE(MID($C551,4,3) &amp; LEFT($C551,3) &amp; RIGHT($C551,4)), "")</f>
        <v/>
      </c>
      <c r="Q551" s="35" t="str">
        <f t="array" ref="Q551">IF($R551&lt;&gt;"",IFERROR(INDEX(Investment!$A:$A,MATCH($R551,Investment!$H:$H,0))),)</f>
        <v/>
      </c>
      <c r="R551" s="36" t="str">
        <f t="array" ref="R551">IF(AND($Y551="change",$H551="EUR"),IF(AND($AA551="Crédit",$O551=$O552),$R552,IF(AND($AA551="Débit",$O551=$O550),$R550)),IF(OR(AND(OR($E551&lt;&gt;"",$M551=""),$N551&lt;&gt;0),$A551=""),IFERROR(INDEX(Investment!$H:$H,MATCH($E551,Investment!$F:$F,0))),IFERROR(INDEX($R552:$R1119,MATCH(SUBSTITUTE($I551,"-","",1),$K552:$K1119,0)),INDEX($R552:$R1119,MATCH($K551,$K552:$K1119,0)))))</f>
        <v/>
      </c>
      <c r="S551" s="35" t="str">
        <f t="shared" si="2"/>
        <v/>
      </c>
      <c r="T551" s="37" t="str">
        <f t="shared" si="3"/>
        <v/>
      </c>
      <c r="U551" s="38" t="str">
        <f t="shared" si="4"/>
        <v/>
      </c>
      <c r="V551" s="31" t="str">
        <f t="shared" si="5"/>
        <v/>
      </c>
      <c r="W551" s="39" t="str">
        <f>IFERROR(__xludf.DUMMYFUNCTION(" IF(Account!$F551&lt;&gt;"""", SPLIT(Account!$F551, "" ""), """")"),"")</f>
        <v/>
      </c>
      <c r="X551" s="40"/>
      <c r="Y551" s="40"/>
      <c r="Z551" s="40"/>
      <c r="AA551" s="40"/>
      <c r="AB551" s="40"/>
      <c r="AC551" s="40"/>
      <c r="AD551" s="40"/>
      <c r="AE551" s="40"/>
      <c r="AF551" s="40"/>
      <c r="AG551" s="40"/>
      <c r="AH551" s="40"/>
      <c r="AI551" s="40"/>
      <c r="AJ551" s="40"/>
      <c r="AK551" s="40"/>
    </row>
    <row r="552">
      <c r="A552" s="10"/>
      <c r="B552" s="10"/>
      <c r="C552" s="10"/>
      <c r="D552" s="10"/>
      <c r="E552" s="10"/>
      <c r="F552" s="12"/>
      <c r="G552" s="10"/>
      <c r="H552" s="10"/>
      <c r="I552" s="10"/>
      <c r="J552" s="10"/>
      <c r="K552" s="10"/>
      <c r="L552" s="12"/>
      <c r="M552" s="29" t="str">
        <f t="shared" si="1"/>
        <v/>
      </c>
      <c r="N552" s="31" t="str">
        <f>IFERROR(__xludf.DUMMYFUNCTION("IF(Account!$F552&lt;&gt;"""", VALUE(REGEXREPLACE($I552, ""\,"", ""."")), """")"),"")</f>
        <v/>
      </c>
      <c r="O552" s="33" t="str">
        <f>IF(Account!$F552&lt;&gt;"", DATEVALUE(MID($A552,4,3) &amp; LEFT($A552,3) &amp; RIGHT($A552,4)) + TIMEVALUE($B552), "")</f>
        <v/>
      </c>
      <c r="P552" s="34" t="str">
        <f>IF(Account!$F552&lt;&gt;"", DATEVALUE(MID($C552,4,3) &amp; LEFT($C552,3) &amp; RIGHT($C552,4)), "")</f>
        <v/>
      </c>
      <c r="Q552" s="35" t="str">
        <f t="array" ref="Q552">IF($R552&lt;&gt;"",IFERROR(INDEX(Investment!$A:$A,MATCH($R552,Investment!$H:$H,0))),)</f>
        <v/>
      </c>
      <c r="R552" s="36" t="str">
        <f t="array" ref="R552">IF(AND($Y552="change",$H552="EUR"),IF(AND($AA552="Crédit",$O552=$O553),$R553,IF(AND($AA552="Débit",$O552=$O551),$R551)),IF(OR(AND(OR($E552&lt;&gt;"",$M552=""),$N552&lt;&gt;0),$A552=""),IFERROR(INDEX(Investment!$H:$H,MATCH($E552,Investment!$F:$F,0))),IFERROR(INDEX($R553:$R1119,MATCH(SUBSTITUTE($I552,"-","",1),$K553:$K1119,0)),INDEX($R553:$R1119,MATCH($K552,$K553:$K1119,0)))))</f>
        <v/>
      </c>
      <c r="S552" s="35" t="str">
        <f t="shared" si="2"/>
        <v/>
      </c>
      <c r="T552" s="37" t="str">
        <f t="shared" si="3"/>
        <v/>
      </c>
      <c r="U552" s="38" t="str">
        <f t="shared" si="4"/>
        <v/>
      </c>
      <c r="V552" s="31" t="str">
        <f t="shared" si="5"/>
        <v/>
      </c>
      <c r="W552" s="39" t="str">
        <f>IFERROR(__xludf.DUMMYFUNCTION(" IF(Account!$F552&lt;&gt;"""", SPLIT(Account!$F552, "" ""), """")"),"")</f>
        <v/>
      </c>
      <c r="X552" s="40"/>
      <c r="Y552" s="40"/>
      <c r="Z552" s="40"/>
      <c r="AA552" s="40"/>
      <c r="AB552" s="40"/>
      <c r="AC552" s="40"/>
      <c r="AD552" s="40"/>
      <c r="AE552" s="40"/>
      <c r="AF552" s="40"/>
      <c r="AG552" s="40"/>
      <c r="AH552" s="40"/>
      <c r="AI552" s="40"/>
      <c r="AJ552" s="40"/>
      <c r="AK552" s="40"/>
    </row>
    <row r="553">
      <c r="A553" s="10"/>
      <c r="B553" s="10"/>
      <c r="C553" s="10"/>
      <c r="D553" s="10"/>
      <c r="E553" s="10"/>
      <c r="F553" s="12"/>
      <c r="G553" s="300"/>
      <c r="H553" s="10"/>
      <c r="I553" s="10"/>
      <c r="J553" s="10"/>
      <c r="K553" s="10"/>
      <c r="L553" s="12"/>
      <c r="M553" s="29" t="str">
        <f t="shared" si="1"/>
        <v/>
      </c>
      <c r="N553" s="31" t="str">
        <f>IFERROR(__xludf.DUMMYFUNCTION("IF(Account!$F553&lt;&gt;"""", VALUE(REGEXREPLACE($I553, ""\,"", ""."")), """")"),"")</f>
        <v/>
      </c>
      <c r="O553" s="33" t="str">
        <f>IF(Account!$F553&lt;&gt;"", DATEVALUE(MID($A553,4,3) &amp; LEFT($A553,3) &amp; RIGHT($A553,4)) + TIMEVALUE($B553), "")</f>
        <v/>
      </c>
      <c r="P553" s="34" t="str">
        <f>IF(Account!$F553&lt;&gt;"", DATEVALUE(MID($C553,4,3) &amp; LEFT($C553,3) &amp; RIGHT($C553,4)), "")</f>
        <v/>
      </c>
      <c r="Q553" s="35" t="str">
        <f t="array" ref="Q553">IF($R553&lt;&gt;"",IFERROR(INDEX(Investment!$A:$A,MATCH($R553,Investment!$H:$H,0))),)</f>
        <v/>
      </c>
      <c r="R553" s="36" t="str">
        <f t="array" ref="R553">IF(AND($Y553="change",$H553="EUR"),IF(AND($AA553="Crédit",$O553=$O554),$R554,IF(AND($AA553="Débit",$O553=$O552),$R552)),IF(OR(AND(OR($E553&lt;&gt;"",$M553=""),$N553&lt;&gt;0),$A553=""),IFERROR(INDEX(Investment!$H:$H,MATCH($E553,Investment!$F:$F,0))),IFERROR(INDEX($R554:$R1119,MATCH(SUBSTITUTE($I553,"-","",1),$K554:$K1119,0)),INDEX($R554:$R1119,MATCH($K553,$K554:$K1119,0)))))</f>
        <v/>
      </c>
      <c r="S553" s="35" t="str">
        <f t="shared" si="2"/>
        <v/>
      </c>
      <c r="T553" s="37" t="str">
        <f t="shared" si="3"/>
        <v/>
      </c>
      <c r="U553" s="38" t="str">
        <f t="shared" si="4"/>
        <v/>
      </c>
      <c r="V553" s="31" t="str">
        <f t="shared" si="5"/>
        <v/>
      </c>
      <c r="W553" s="39" t="str">
        <f>IFERROR(__xludf.DUMMYFUNCTION(" IF(Account!$F553&lt;&gt;"""", SPLIT(Account!$F553, "" ""), """")"),"")</f>
        <v/>
      </c>
      <c r="X553" s="40"/>
      <c r="Y553" s="40"/>
      <c r="Z553" s="40"/>
      <c r="AA553" s="40"/>
      <c r="AB553" s="40"/>
      <c r="AC553" s="40"/>
      <c r="AD553" s="40"/>
      <c r="AE553" s="40"/>
      <c r="AF553" s="40"/>
      <c r="AG553" s="40"/>
      <c r="AH553" s="40"/>
      <c r="AI553" s="40"/>
      <c r="AJ553" s="40"/>
      <c r="AK553" s="40"/>
    </row>
    <row r="554">
      <c r="A554" s="10"/>
      <c r="B554" s="10"/>
      <c r="C554" s="10"/>
      <c r="D554" s="10"/>
      <c r="E554" s="10"/>
      <c r="F554" s="12"/>
      <c r="G554" s="10"/>
      <c r="H554" s="10"/>
      <c r="I554" s="10"/>
      <c r="J554" s="10"/>
      <c r="K554" s="10"/>
      <c r="L554" s="12"/>
      <c r="M554" s="29" t="str">
        <f t="shared" si="1"/>
        <v/>
      </c>
      <c r="N554" s="31" t="str">
        <f>IFERROR(__xludf.DUMMYFUNCTION("IF(Account!$F554&lt;&gt;"""", VALUE(REGEXREPLACE($I554, ""\,"", ""."")), """")"),"")</f>
        <v/>
      </c>
      <c r="O554" s="33" t="str">
        <f>IF(Account!$F554&lt;&gt;"", DATEVALUE(MID($A554,4,3) &amp; LEFT($A554,3) &amp; RIGHT($A554,4)) + TIMEVALUE($B554), "")</f>
        <v/>
      </c>
      <c r="P554" s="34" t="str">
        <f>IF(Account!$F554&lt;&gt;"", DATEVALUE(MID($C554,4,3) &amp; LEFT($C554,3) &amp; RIGHT($C554,4)), "")</f>
        <v/>
      </c>
      <c r="Q554" s="35" t="str">
        <f t="array" ref="Q554">IF($R554&lt;&gt;"",IFERROR(INDEX(Investment!$A:$A,MATCH($R554,Investment!$H:$H,0))),)</f>
        <v/>
      </c>
      <c r="R554" s="36" t="str">
        <f t="array" ref="R554">IF(AND($Y554="change",$H554="EUR"),IF(AND($AA554="Crédit",$O554=$O555),$R555,IF(AND($AA554="Débit",$O554=$O553),$R553)),IF(OR(AND(OR($E554&lt;&gt;"",$M554=""),$N554&lt;&gt;0),$A554=""),IFERROR(INDEX(Investment!$H:$H,MATCH($E554,Investment!$F:$F,0))),IFERROR(INDEX($R555:$R1119,MATCH(SUBSTITUTE($I554,"-","",1),$K555:$K1119,0)),INDEX($R555:$R1119,MATCH($K554,$K555:$K1119,0)))))</f>
        <v/>
      </c>
      <c r="S554" s="35" t="str">
        <f t="shared" si="2"/>
        <v/>
      </c>
      <c r="T554" s="37" t="str">
        <f t="shared" si="3"/>
        <v/>
      </c>
      <c r="U554" s="38" t="str">
        <f t="shared" si="4"/>
        <v/>
      </c>
      <c r="V554" s="31" t="str">
        <f t="shared" si="5"/>
        <v/>
      </c>
      <c r="W554" s="39" t="str">
        <f>IFERROR(__xludf.DUMMYFUNCTION(" IF(Account!$F554&lt;&gt;"""", SPLIT(Account!$F554, "" ""), """")"),"")</f>
        <v/>
      </c>
      <c r="X554" s="40"/>
      <c r="Y554" s="40"/>
      <c r="Z554" s="40"/>
      <c r="AA554" s="40"/>
      <c r="AB554" s="40"/>
      <c r="AC554" s="40"/>
      <c r="AD554" s="40"/>
      <c r="AE554" s="40"/>
      <c r="AF554" s="40"/>
      <c r="AG554" s="40"/>
      <c r="AH554" s="40"/>
      <c r="AI554" s="40"/>
      <c r="AJ554" s="40"/>
      <c r="AK554" s="40"/>
    </row>
    <row r="555">
      <c r="A555" s="10"/>
      <c r="B555" s="10"/>
      <c r="C555" s="10"/>
      <c r="D555" s="10"/>
      <c r="E555" s="10"/>
      <c r="F555" s="12"/>
      <c r="G555" s="300"/>
      <c r="H555" s="10"/>
      <c r="I555" s="10"/>
      <c r="J555" s="10"/>
      <c r="K555" s="10"/>
      <c r="L555" s="12"/>
      <c r="M555" s="29" t="str">
        <f t="shared" si="1"/>
        <v/>
      </c>
      <c r="N555" s="31" t="str">
        <f>IFERROR(__xludf.DUMMYFUNCTION("IF(Account!$F555&lt;&gt;"""", VALUE(REGEXREPLACE($I555, ""\,"", ""."")), """")"),"")</f>
        <v/>
      </c>
      <c r="O555" s="33" t="str">
        <f>IF(Account!$F555&lt;&gt;"", DATEVALUE(MID($A555,4,3) &amp; LEFT($A555,3) &amp; RIGHT($A555,4)) + TIMEVALUE($B555), "")</f>
        <v/>
      </c>
      <c r="P555" s="34" t="str">
        <f>IF(Account!$F555&lt;&gt;"", DATEVALUE(MID($C555,4,3) &amp; LEFT($C555,3) &amp; RIGHT($C555,4)), "")</f>
        <v/>
      </c>
      <c r="Q555" s="35" t="str">
        <f t="array" ref="Q555">IF($R555&lt;&gt;"",IFERROR(INDEX(Investment!$A:$A,MATCH($R555,Investment!$H:$H,0))),)</f>
        <v/>
      </c>
      <c r="R555" s="36" t="str">
        <f t="array" ref="R555">IF(AND($Y555="change",$H555="EUR"),IF(AND($AA555="Crédit",$O555=$O556),$R556,IF(AND($AA555="Débit",$O555=$O554),$R554)),IF(OR(AND(OR($E555&lt;&gt;"",$M555=""),$N555&lt;&gt;0),$A555=""),IFERROR(INDEX(Investment!$H:$H,MATCH($E555,Investment!$F:$F,0))),IFERROR(INDEX($R556:$R1119,MATCH(SUBSTITUTE($I555,"-","",1),$K556:$K1119,0)),INDEX($R556:$R1119,MATCH($K555,$K556:$K1119,0)))))</f>
        <v/>
      </c>
      <c r="S555" s="35" t="str">
        <f t="shared" si="2"/>
        <v/>
      </c>
      <c r="T555" s="37" t="str">
        <f t="shared" si="3"/>
        <v/>
      </c>
      <c r="U555" s="38" t="str">
        <f t="shared" si="4"/>
        <v/>
      </c>
      <c r="V555" s="31" t="str">
        <f t="shared" si="5"/>
        <v/>
      </c>
      <c r="W555" s="39" t="str">
        <f>IFERROR(__xludf.DUMMYFUNCTION(" IF(Account!$F555&lt;&gt;"""", SPLIT(Account!$F555, "" ""), """")"),"")</f>
        <v/>
      </c>
      <c r="X555" s="40"/>
      <c r="Y555" s="40"/>
      <c r="Z555" s="40"/>
      <c r="AA555" s="40"/>
      <c r="AB555" s="40"/>
      <c r="AC555" s="40"/>
      <c r="AD555" s="40"/>
      <c r="AE555" s="40"/>
      <c r="AF555" s="40"/>
      <c r="AG555" s="40"/>
      <c r="AH555" s="40"/>
      <c r="AI555" s="40"/>
      <c r="AJ555" s="40"/>
      <c r="AK555" s="40"/>
    </row>
    <row r="556">
      <c r="A556" s="10"/>
      <c r="B556" s="10"/>
      <c r="C556" s="10"/>
      <c r="D556" s="10"/>
      <c r="E556" s="10"/>
      <c r="F556" s="12"/>
      <c r="G556" s="10"/>
      <c r="H556" s="10"/>
      <c r="I556" s="10"/>
      <c r="J556" s="10"/>
      <c r="K556" s="10"/>
      <c r="L556" s="12"/>
      <c r="M556" s="29" t="str">
        <f t="shared" si="1"/>
        <v/>
      </c>
      <c r="N556" s="31" t="str">
        <f>IFERROR(__xludf.DUMMYFUNCTION("IF(Account!$F556&lt;&gt;"""", VALUE(REGEXREPLACE($I556, ""\,"", ""."")), """")"),"")</f>
        <v/>
      </c>
      <c r="O556" s="33" t="str">
        <f>IF(Account!$F556&lt;&gt;"", DATEVALUE(MID($A556,4,3) &amp; LEFT($A556,3) &amp; RIGHT($A556,4)) + TIMEVALUE($B556), "")</f>
        <v/>
      </c>
      <c r="P556" s="34" t="str">
        <f>IF(Account!$F556&lt;&gt;"", DATEVALUE(MID($C556,4,3) &amp; LEFT($C556,3) &amp; RIGHT($C556,4)), "")</f>
        <v/>
      </c>
      <c r="Q556" s="35" t="str">
        <f t="array" ref="Q556">IF($R556&lt;&gt;"",IFERROR(INDEX(Investment!$A:$A,MATCH($R556,Investment!$H:$H,0))),)</f>
        <v/>
      </c>
      <c r="R556" s="36" t="str">
        <f t="array" ref="R556">IF(AND($Y556="change",$H556="EUR"),IF(AND($AA556="Crédit",$O556=$O557),$R557,IF(AND($AA556="Débit",$O556=$O555),$R555)),IF(OR(AND(OR($E556&lt;&gt;"",$M556=""),$N556&lt;&gt;0),$A556=""),IFERROR(INDEX(Investment!$H:$H,MATCH($E556,Investment!$F:$F,0))),IFERROR(INDEX($R557:$R1119,MATCH(SUBSTITUTE($I556,"-","",1),$K557:$K1119,0)),INDEX($R557:$R1119,MATCH($K556,$K557:$K1119,0)))))</f>
        <v/>
      </c>
      <c r="S556" s="35" t="str">
        <f t="shared" si="2"/>
        <v/>
      </c>
      <c r="T556" s="37" t="str">
        <f t="shared" si="3"/>
        <v/>
      </c>
      <c r="U556" s="38" t="str">
        <f t="shared" si="4"/>
        <v/>
      </c>
      <c r="V556" s="31" t="str">
        <f t="shared" si="5"/>
        <v/>
      </c>
      <c r="W556" s="39" t="str">
        <f>IFERROR(__xludf.DUMMYFUNCTION(" IF(Account!$F556&lt;&gt;"""", SPLIT(Account!$F556, "" ""), """")"),"")</f>
        <v/>
      </c>
      <c r="X556" s="40"/>
      <c r="Y556" s="40"/>
      <c r="Z556" s="40"/>
      <c r="AA556" s="40"/>
      <c r="AB556" s="40"/>
      <c r="AC556" s="40"/>
      <c r="AD556" s="40"/>
      <c r="AE556" s="40"/>
      <c r="AF556" s="40"/>
      <c r="AG556" s="40"/>
      <c r="AH556" s="40"/>
      <c r="AI556" s="40"/>
      <c r="AJ556" s="40"/>
      <c r="AK556" s="40"/>
    </row>
    <row r="557">
      <c r="A557" s="10"/>
      <c r="B557" s="10"/>
      <c r="C557" s="10"/>
      <c r="D557" s="10"/>
      <c r="E557" s="10"/>
      <c r="F557" s="12"/>
      <c r="G557" s="300"/>
      <c r="H557" s="10"/>
      <c r="I557" s="10"/>
      <c r="J557" s="10"/>
      <c r="K557" s="10"/>
      <c r="L557" s="12"/>
      <c r="M557" s="29" t="str">
        <f t="shared" si="1"/>
        <v/>
      </c>
      <c r="N557" s="31" t="str">
        <f>IFERROR(__xludf.DUMMYFUNCTION("IF(Account!$F557&lt;&gt;"""", VALUE(REGEXREPLACE($I557, ""\,"", ""."")), """")"),"")</f>
        <v/>
      </c>
      <c r="O557" s="33" t="str">
        <f>IF(Account!$F557&lt;&gt;"", DATEVALUE(MID($A557,4,3) &amp; LEFT($A557,3) &amp; RIGHT($A557,4)) + TIMEVALUE($B557), "")</f>
        <v/>
      </c>
      <c r="P557" s="34" t="str">
        <f>IF(Account!$F557&lt;&gt;"", DATEVALUE(MID($C557,4,3) &amp; LEFT($C557,3) &amp; RIGHT($C557,4)), "")</f>
        <v/>
      </c>
      <c r="Q557" s="35" t="str">
        <f t="array" ref="Q557">IF($R557&lt;&gt;"",IFERROR(INDEX(Investment!$A:$A,MATCH($R557,Investment!$H:$H,0))),)</f>
        <v/>
      </c>
      <c r="R557" s="36" t="str">
        <f t="array" ref="R557">IF(AND($Y557="change",$H557="EUR"),IF(AND($AA557="Crédit",$O557=$O558),$R558,IF(AND($AA557="Débit",$O557=$O556),$R556)),IF(OR(AND(OR($E557&lt;&gt;"",$M557=""),$N557&lt;&gt;0),$A557=""),IFERROR(INDEX(Investment!$H:$H,MATCH($E557,Investment!$F:$F,0))),IFERROR(INDEX($R558:$R1119,MATCH(SUBSTITUTE($I557,"-","",1),$K558:$K1119,0)),INDEX($R558:$R1119,MATCH($K557,$K558:$K1119,0)))))</f>
        <v/>
      </c>
      <c r="S557" s="35" t="str">
        <f t="shared" si="2"/>
        <v/>
      </c>
      <c r="T557" s="37" t="str">
        <f t="shared" si="3"/>
        <v/>
      </c>
      <c r="U557" s="38" t="str">
        <f t="shared" si="4"/>
        <v/>
      </c>
      <c r="V557" s="31" t="str">
        <f t="shared" si="5"/>
        <v/>
      </c>
      <c r="W557" s="39" t="str">
        <f>IFERROR(__xludf.DUMMYFUNCTION(" IF(Account!$F557&lt;&gt;"""", SPLIT(Account!$F557, "" ""), """")"),"")</f>
        <v/>
      </c>
      <c r="X557" s="40"/>
      <c r="Y557" s="40"/>
      <c r="Z557" s="40"/>
      <c r="AA557" s="40"/>
      <c r="AB557" s="40"/>
      <c r="AC557" s="40"/>
      <c r="AD557" s="40"/>
      <c r="AE557" s="40"/>
      <c r="AF557" s="40"/>
      <c r="AG557" s="40"/>
      <c r="AH557" s="40"/>
      <c r="AI557" s="40"/>
      <c r="AJ557" s="40"/>
      <c r="AK557" s="40"/>
    </row>
    <row r="558">
      <c r="A558" s="10"/>
      <c r="B558" s="10"/>
      <c r="C558" s="10"/>
      <c r="D558" s="10"/>
      <c r="E558" s="10"/>
      <c r="F558" s="12"/>
      <c r="G558" s="10"/>
      <c r="H558" s="10"/>
      <c r="I558" s="10"/>
      <c r="J558" s="10"/>
      <c r="K558" s="10"/>
      <c r="L558" s="12"/>
      <c r="M558" s="29" t="str">
        <f t="shared" si="1"/>
        <v/>
      </c>
      <c r="N558" s="31" t="str">
        <f>IFERROR(__xludf.DUMMYFUNCTION("IF(Account!$F558&lt;&gt;"""", VALUE(REGEXREPLACE($I558, ""\,"", ""."")), """")"),"")</f>
        <v/>
      </c>
      <c r="O558" s="33" t="str">
        <f>IF(Account!$F558&lt;&gt;"", DATEVALUE(MID($A558,4,3) &amp; LEFT($A558,3) &amp; RIGHT($A558,4)) + TIMEVALUE($B558), "")</f>
        <v/>
      </c>
      <c r="P558" s="34" t="str">
        <f>IF(Account!$F558&lt;&gt;"", DATEVALUE(MID($C558,4,3) &amp; LEFT($C558,3) &amp; RIGHT($C558,4)), "")</f>
        <v/>
      </c>
      <c r="Q558" s="35" t="str">
        <f t="array" ref="Q558">IF($R558&lt;&gt;"",IFERROR(INDEX(Investment!$A:$A,MATCH($R558,Investment!$H:$H,0))),)</f>
        <v/>
      </c>
      <c r="R558" s="36" t="str">
        <f t="array" ref="R558">IF(AND($Y558="change",$H558="EUR"),IF(AND($AA558="Crédit",$O558=$O559),$R559,IF(AND($AA558="Débit",$O558=$O557),$R557)),IF(OR(AND(OR($E558&lt;&gt;"",$M558=""),$N558&lt;&gt;0),$A558=""),IFERROR(INDEX(Investment!$H:$H,MATCH($E558,Investment!$F:$F,0))),IFERROR(INDEX($R559:$R1119,MATCH(SUBSTITUTE($I558,"-","",1),$K559:$K1119,0)),INDEX($R559:$R1119,MATCH($K558,$K559:$K1119,0)))))</f>
        <v/>
      </c>
      <c r="S558" s="35" t="str">
        <f t="shared" si="2"/>
        <v/>
      </c>
      <c r="T558" s="37" t="str">
        <f t="shared" si="3"/>
        <v/>
      </c>
      <c r="U558" s="38" t="str">
        <f t="shared" si="4"/>
        <v/>
      </c>
      <c r="V558" s="31" t="str">
        <f t="shared" si="5"/>
        <v/>
      </c>
      <c r="W558" s="39" t="str">
        <f>IFERROR(__xludf.DUMMYFUNCTION(" IF(Account!$F558&lt;&gt;"""", SPLIT(Account!$F558, "" ""), """")"),"")</f>
        <v/>
      </c>
      <c r="X558" s="40"/>
      <c r="Y558" s="40"/>
      <c r="Z558" s="40"/>
      <c r="AA558" s="40"/>
      <c r="AB558" s="40"/>
      <c r="AC558" s="40"/>
      <c r="AD558" s="40"/>
      <c r="AE558" s="40"/>
      <c r="AF558" s="40"/>
      <c r="AG558" s="40"/>
      <c r="AH558" s="40"/>
      <c r="AI558" s="40"/>
      <c r="AJ558" s="40"/>
      <c r="AK558" s="40"/>
    </row>
    <row r="559">
      <c r="A559" s="10"/>
      <c r="B559" s="10"/>
      <c r="C559" s="10"/>
      <c r="D559" s="10"/>
      <c r="E559" s="10"/>
      <c r="F559" s="12"/>
      <c r="G559" s="300"/>
      <c r="H559" s="10"/>
      <c r="I559" s="10"/>
      <c r="J559" s="10"/>
      <c r="K559" s="10"/>
      <c r="L559" s="12"/>
      <c r="M559" s="29" t="str">
        <f t="shared" si="1"/>
        <v/>
      </c>
      <c r="N559" s="31" t="str">
        <f>IFERROR(__xludf.DUMMYFUNCTION("IF(Account!$F559&lt;&gt;"""", VALUE(REGEXREPLACE($I559, ""\,"", ""."")), """")"),"")</f>
        <v/>
      </c>
      <c r="O559" s="33" t="str">
        <f>IF(Account!$F559&lt;&gt;"", DATEVALUE(MID($A559,4,3) &amp; LEFT($A559,3) &amp; RIGHT($A559,4)) + TIMEVALUE($B559), "")</f>
        <v/>
      </c>
      <c r="P559" s="34" t="str">
        <f>IF(Account!$F559&lt;&gt;"", DATEVALUE(MID($C559,4,3) &amp; LEFT($C559,3) &amp; RIGHT($C559,4)), "")</f>
        <v/>
      </c>
      <c r="Q559" s="35" t="str">
        <f t="array" ref="Q559">IF($R559&lt;&gt;"",IFERROR(INDEX(Investment!$A:$A,MATCH($R559,Investment!$H:$H,0))),)</f>
        <v/>
      </c>
      <c r="R559" s="36" t="str">
        <f t="array" ref="R559">IF(AND($Y559="change",$H559="EUR"),IF(AND($AA559="Crédit",$O559=$O560),$R560,IF(AND($AA559="Débit",$O559=$O558),$R558)),IF(OR(AND(OR($E559&lt;&gt;"",$M559=""),$N559&lt;&gt;0),$A559=""),IFERROR(INDEX(Investment!$H:$H,MATCH($E559,Investment!$F:$F,0))),IFERROR(INDEX($R560:$R1119,MATCH(SUBSTITUTE($I559,"-","",1),$K560:$K1119,0)),INDEX($R560:$R1119,MATCH($K559,$K560:$K1119,0)))))</f>
        <v/>
      </c>
      <c r="S559" s="35" t="str">
        <f t="shared" si="2"/>
        <v/>
      </c>
      <c r="T559" s="37" t="str">
        <f t="shared" si="3"/>
        <v/>
      </c>
      <c r="U559" s="38" t="str">
        <f t="shared" si="4"/>
        <v/>
      </c>
      <c r="V559" s="31" t="str">
        <f t="shared" si="5"/>
        <v/>
      </c>
      <c r="W559" s="39" t="str">
        <f>IFERROR(__xludf.DUMMYFUNCTION(" IF(Account!$F559&lt;&gt;"""", SPLIT(Account!$F559, "" ""), """")"),"")</f>
        <v/>
      </c>
      <c r="X559" s="40"/>
      <c r="Y559" s="40"/>
      <c r="Z559" s="40"/>
      <c r="AA559" s="40"/>
      <c r="AB559" s="40"/>
      <c r="AC559" s="40"/>
      <c r="AD559" s="40"/>
      <c r="AE559" s="40"/>
      <c r="AF559" s="40"/>
      <c r="AG559" s="40"/>
      <c r="AH559" s="40"/>
      <c r="AI559" s="40"/>
      <c r="AJ559" s="40"/>
      <c r="AK559" s="40"/>
    </row>
    <row r="560">
      <c r="A560" s="10"/>
      <c r="B560" s="10"/>
      <c r="C560" s="10"/>
      <c r="D560" s="10"/>
      <c r="E560" s="10"/>
      <c r="F560" s="12"/>
      <c r="G560" s="10"/>
      <c r="H560" s="10"/>
      <c r="I560" s="10"/>
      <c r="J560" s="10"/>
      <c r="K560" s="10"/>
      <c r="L560" s="12"/>
      <c r="M560" s="29" t="str">
        <f t="shared" si="1"/>
        <v/>
      </c>
      <c r="N560" s="31" t="str">
        <f>IFERROR(__xludf.DUMMYFUNCTION("IF(Account!$F560&lt;&gt;"""", VALUE(REGEXREPLACE($I560, ""\,"", ""."")), """")"),"")</f>
        <v/>
      </c>
      <c r="O560" s="33" t="str">
        <f>IF(Account!$F560&lt;&gt;"", DATEVALUE(MID($A560,4,3) &amp; LEFT($A560,3) &amp; RIGHT($A560,4)) + TIMEVALUE($B560), "")</f>
        <v/>
      </c>
      <c r="P560" s="34" t="str">
        <f>IF(Account!$F560&lt;&gt;"", DATEVALUE(MID($C560,4,3) &amp; LEFT($C560,3) &amp; RIGHT($C560,4)), "")</f>
        <v/>
      </c>
      <c r="Q560" s="35" t="str">
        <f t="array" ref="Q560">IF($R560&lt;&gt;"",IFERROR(INDEX(Investment!$A:$A,MATCH($R560,Investment!$H:$H,0))),)</f>
        <v/>
      </c>
      <c r="R560" s="36" t="str">
        <f t="array" ref="R560">IF(AND($Y560="change",$H560="EUR"),IF(AND($AA560="Crédit",$O560=$O561),$R561,IF(AND($AA560="Débit",$O560=$O559),$R559)),IF(OR(AND(OR($E560&lt;&gt;"",$M560=""),$N560&lt;&gt;0),$A560=""),IFERROR(INDEX(Investment!$H:$H,MATCH($E560,Investment!$F:$F,0))),IFERROR(INDEX($R561:$R1119,MATCH(SUBSTITUTE($I560,"-","",1),$K561:$K1119,0)),INDEX($R561:$R1119,MATCH($K560,$K561:$K1119,0)))))</f>
        <v/>
      </c>
      <c r="S560" s="35" t="str">
        <f t="shared" si="2"/>
        <v/>
      </c>
      <c r="T560" s="37" t="str">
        <f t="shared" si="3"/>
        <v/>
      </c>
      <c r="U560" s="38" t="str">
        <f t="shared" si="4"/>
        <v/>
      </c>
      <c r="V560" s="31" t="str">
        <f t="shared" si="5"/>
        <v/>
      </c>
      <c r="W560" s="39" t="str">
        <f>IFERROR(__xludf.DUMMYFUNCTION(" IF(Account!$F560&lt;&gt;"""", SPLIT(Account!$F560, "" ""), """")"),"")</f>
        <v/>
      </c>
      <c r="X560" s="40"/>
      <c r="Y560" s="40"/>
      <c r="Z560" s="40"/>
      <c r="AA560" s="40"/>
      <c r="AB560" s="40"/>
      <c r="AC560" s="40"/>
      <c r="AD560" s="40"/>
      <c r="AE560" s="40"/>
      <c r="AF560" s="40"/>
      <c r="AG560" s="40"/>
      <c r="AH560" s="40"/>
      <c r="AI560" s="40"/>
      <c r="AJ560" s="40"/>
      <c r="AK560" s="40"/>
    </row>
    <row r="561">
      <c r="A561" s="10"/>
      <c r="B561" s="10"/>
      <c r="C561" s="10"/>
      <c r="D561" s="10"/>
      <c r="E561" s="10"/>
      <c r="F561" s="12"/>
      <c r="G561" s="300"/>
      <c r="H561" s="10"/>
      <c r="I561" s="10"/>
      <c r="J561" s="10"/>
      <c r="K561" s="10"/>
      <c r="L561" s="12"/>
      <c r="M561" s="29" t="str">
        <f t="shared" si="1"/>
        <v/>
      </c>
      <c r="N561" s="31" t="str">
        <f>IFERROR(__xludf.DUMMYFUNCTION("IF(Account!$F561&lt;&gt;"""", VALUE(REGEXREPLACE($I561, ""\,"", ""."")), """")"),"")</f>
        <v/>
      </c>
      <c r="O561" s="33" t="str">
        <f>IF(Account!$F561&lt;&gt;"", DATEVALUE(MID($A561,4,3) &amp; LEFT($A561,3) &amp; RIGHT($A561,4)) + TIMEVALUE($B561), "")</f>
        <v/>
      </c>
      <c r="P561" s="34" t="str">
        <f>IF(Account!$F561&lt;&gt;"", DATEVALUE(MID($C561,4,3) &amp; LEFT($C561,3) &amp; RIGHT($C561,4)), "")</f>
        <v/>
      </c>
      <c r="Q561" s="35" t="str">
        <f t="array" ref="Q561">IF($R561&lt;&gt;"",IFERROR(INDEX(Investment!$A:$A,MATCH($R561,Investment!$H:$H,0))),)</f>
        <v/>
      </c>
      <c r="R561" s="36" t="str">
        <f t="array" ref="R561">IF(AND($Y561="change",$H561="EUR"),IF(AND($AA561="Crédit",$O561=$O562),$R562,IF(AND($AA561="Débit",$O561=$O560),$R560)),IF(OR(AND(OR($E561&lt;&gt;"",$M561=""),$N561&lt;&gt;0),$A561=""),IFERROR(INDEX(Investment!$H:$H,MATCH($E561,Investment!$F:$F,0))),IFERROR(INDEX($R562:$R1119,MATCH(SUBSTITUTE($I561,"-","",1),$K562:$K1119,0)),INDEX($R562:$R1119,MATCH($K561,$K562:$K1119,0)))))</f>
        <v/>
      </c>
      <c r="S561" s="35" t="str">
        <f t="shared" si="2"/>
        <v/>
      </c>
      <c r="T561" s="37" t="str">
        <f t="shared" si="3"/>
        <v/>
      </c>
      <c r="U561" s="38" t="str">
        <f t="shared" si="4"/>
        <v/>
      </c>
      <c r="V561" s="31" t="str">
        <f t="shared" si="5"/>
        <v/>
      </c>
      <c r="W561" s="39" t="str">
        <f>IFERROR(__xludf.DUMMYFUNCTION(" IF(Account!$F561&lt;&gt;"""", SPLIT(Account!$F561, "" ""), """")"),"")</f>
        <v/>
      </c>
      <c r="X561" s="40"/>
      <c r="Y561" s="40"/>
      <c r="Z561" s="40"/>
      <c r="AA561" s="40"/>
      <c r="AB561" s="40"/>
      <c r="AC561" s="40"/>
      <c r="AD561" s="40"/>
      <c r="AE561" s="40"/>
      <c r="AF561" s="40"/>
      <c r="AG561" s="40"/>
      <c r="AH561" s="40"/>
      <c r="AI561" s="40"/>
      <c r="AJ561" s="40"/>
      <c r="AK561" s="40"/>
    </row>
    <row r="562">
      <c r="A562" s="10"/>
      <c r="B562" s="10"/>
      <c r="C562" s="10"/>
      <c r="D562" s="10"/>
      <c r="E562" s="10"/>
      <c r="F562" s="12"/>
      <c r="G562" s="300"/>
      <c r="H562" s="10"/>
      <c r="I562" s="10"/>
      <c r="J562" s="10"/>
      <c r="K562" s="10"/>
      <c r="L562" s="12"/>
      <c r="M562" s="29" t="str">
        <f t="shared" si="1"/>
        <v/>
      </c>
      <c r="N562" s="31" t="str">
        <f>IFERROR(__xludf.DUMMYFUNCTION("IF(Account!$F562&lt;&gt;"""", VALUE(REGEXREPLACE($I562, ""\,"", ""."")), """")"),"")</f>
        <v/>
      </c>
      <c r="O562" s="33" t="str">
        <f>IF(Account!$F562&lt;&gt;"", DATEVALUE(MID($A562,4,3) &amp; LEFT($A562,3) &amp; RIGHT($A562,4)) + TIMEVALUE($B562), "")</f>
        <v/>
      </c>
      <c r="P562" s="34" t="str">
        <f>IF(Account!$F562&lt;&gt;"", DATEVALUE(MID($C562,4,3) &amp; LEFT($C562,3) &amp; RIGHT($C562,4)), "")</f>
        <v/>
      </c>
      <c r="Q562" s="35" t="str">
        <f t="array" ref="Q562">IF($R562&lt;&gt;"",IFERROR(INDEX(Investment!$A:$A,MATCH($R562,Investment!$H:$H,0))),)</f>
        <v/>
      </c>
      <c r="R562" s="36" t="str">
        <f t="array" ref="R562">IF(AND($Y562="change",$H562="EUR"),IF(AND($AA562="Crédit",$O562=$O563),$R563,IF(AND($AA562="Débit",$O562=$O561),$R561)),IF(OR(AND(OR($E562&lt;&gt;"",$M562=""),$N562&lt;&gt;0),$A562=""),IFERROR(INDEX(Investment!$H:$H,MATCH($E562,Investment!$F:$F,0))),IFERROR(INDEX($R563:$R1119,MATCH(SUBSTITUTE($I562,"-","",1),$K563:$K1119,0)),INDEX($R563:$R1119,MATCH($K562,$K563:$K1119,0)))))</f>
        <v/>
      </c>
      <c r="S562" s="35" t="str">
        <f t="shared" si="2"/>
        <v/>
      </c>
      <c r="T562" s="37" t="str">
        <f t="shared" si="3"/>
        <v/>
      </c>
      <c r="U562" s="38" t="str">
        <f t="shared" si="4"/>
        <v/>
      </c>
      <c r="V562" s="31" t="str">
        <f t="shared" si="5"/>
        <v/>
      </c>
      <c r="W562" s="39" t="str">
        <f>IFERROR(__xludf.DUMMYFUNCTION(" IF(Account!$F562&lt;&gt;"""", SPLIT(Account!$F562, "" ""), """")"),"")</f>
        <v/>
      </c>
      <c r="X562" s="40"/>
      <c r="Y562" s="40"/>
      <c r="Z562" s="40"/>
      <c r="AA562" s="40"/>
      <c r="AB562" s="40"/>
      <c r="AC562" s="40"/>
      <c r="AD562" s="40"/>
      <c r="AE562" s="40"/>
      <c r="AF562" s="40"/>
      <c r="AG562" s="40"/>
      <c r="AH562" s="40"/>
      <c r="AI562" s="40"/>
      <c r="AJ562" s="40"/>
      <c r="AK562" s="40"/>
    </row>
    <row r="563">
      <c r="A563" s="10"/>
      <c r="B563" s="10"/>
      <c r="C563" s="10"/>
      <c r="D563" s="10"/>
      <c r="E563" s="10"/>
      <c r="F563" s="12"/>
      <c r="G563" s="300"/>
      <c r="H563" s="10"/>
      <c r="I563" s="10"/>
      <c r="J563" s="10"/>
      <c r="K563" s="10"/>
      <c r="L563" s="12"/>
      <c r="M563" s="29" t="str">
        <f t="shared" si="1"/>
        <v/>
      </c>
      <c r="N563" s="31" t="str">
        <f>IFERROR(__xludf.DUMMYFUNCTION("IF(Account!$F563&lt;&gt;"""", VALUE(REGEXREPLACE($I563, ""\,"", ""."")), """")"),"")</f>
        <v/>
      </c>
      <c r="O563" s="33" t="str">
        <f>IF(Account!$F563&lt;&gt;"", DATEVALUE(MID($A563,4,3) &amp; LEFT($A563,3) &amp; RIGHT($A563,4)) + TIMEVALUE($B563), "")</f>
        <v/>
      </c>
      <c r="P563" s="34" t="str">
        <f>IF(Account!$F563&lt;&gt;"", DATEVALUE(MID($C563,4,3) &amp; LEFT($C563,3) &amp; RIGHT($C563,4)), "")</f>
        <v/>
      </c>
      <c r="Q563" s="35" t="str">
        <f t="array" ref="Q563">IF($R563&lt;&gt;"",IFERROR(INDEX(Investment!$A:$A,MATCH($R563,Investment!$H:$H,0))),)</f>
        <v/>
      </c>
      <c r="R563" s="36" t="str">
        <f t="array" ref="R563">IF(AND($Y563="change",$H563="EUR"),IF(AND($AA563="Crédit",$O563=$O564),$R564,IF(AND($AA563="Débit",$O563=$O562),$R562)),IF(OR(AND(OR($E563&lt;&gt;"",$M563=""),$N563&lt;&gt;0),$A563=""),IFERROR(INDEX(Investment!$H:$H,MATCH($E563,Investment!$F:$F,0))),IFERROR(INDEX($R564:$R1119,MATCH(SUBSTITUTE($I563,"-","",1),$K564:$K1119,0)),INDEX($R564:$R1119,MATCH($K563,$K564:$K1119,0)))))</f>
        <v/>
      </c>
      <c r="S563" s="35" t="str">
        <f t="shared" si="2"/>
        <v/>
      </c>
      <c r="T563" s="37" t="str">
        <f t="shared" si="3"/>
        <v/>
      </c>
      <c r="U563" s="38" t="str">
        <f t="shared" si="4"/>
        <v/>
      </c>
      <c r="V563" s="31" t="str">
        <f t="shared" si="5"/>
        <v/>
      </c>
      <c r="W563" s="39" t="str">
        <f>IFERROR(__xludf.DUMMYFUNCTION(" IF(Account!$F563&lt;&gt;"""", SPLIT(Account!$F563, "" ""), """")"),"")</f>
        <v/>
      </c>
      <c r="X563" s="40"/>
      <c r="Y563" s="40"/>
      <c r="Z563" s="40"/>
      <c r="AA563" s="40"/>
      <c r="AB563" s="40"/>
      <c r="AC563" s="40"/>
      <c r="AD563" s="40"/>
      <c r="AE563" s="40"/>
      <c r="AF563" s="40"/>
      <c r="AG563" s="40"/>
      <c r="AH563" s="40"/>
      <c r="AI563" s="40"/>
      <c r="AJ563" s="40"/>
      <c r="AK563" s="40"/>
    </row>
    <row r="564">
      <c r="A564" s="10"/>
      <c r="B564" s="10"/>
      <c r="C564" s="10"/>
      <c r="D564" s="10"/>
      <c r="E564" s="10"/>
      <c r="F564" s="12"/>
      <c r="G564" s="300"/>
      <c r="H564" s="10"/>
      <c r="I564" s="10"/>
      <c r="J564" s="10"/>
      <c r="K564" s="10"/>
      <c r="L564" s="12"/>
      <c r="M564" s="29" t="str">
        <f t="shared" si="1"/>
        <v/>
      </c>
      <c r="N564" s="31" t="str">
        <f>IFERROR(__xludf.DUMMYFUNCTION("IF(Account!$F564&lt;&gt;"""", VALUE(REGEXREPLACE($I564, ""\,"", ""."")), """")"),"")</f>
        <v/>
      </c>
      <c r="O564" s="33" t="str">
        <f>IF(Account!$F564&lt;&gt;"", DATEVALUE(MID($A564,4,3) &amp; LEFT($A564,3) &amp; RIGHT($A564,4)) + TIMEVALUE($B564), "")</f>
        <v/>
      </c>
      <c r="P564" s="34" t="str">
        <f>IF(Account!$F564&lt;&gt;"", DATEVALUE(MID($C564,4,3) &amp; LEFT($C564,3) &amp; RIGHT($C564,4)), "")</f>
        <v/>
      </c>
      <c r="Q564" s="35" t="str">
        <f t="array" ref="Q564">IF($R564&lt;&gt;"",IFERROR(INDEX(Investment!$A:$A,MATCH($R564,Investment!$H:$H,0))),)</f>
        <v/>
      </c>
      <c r="R564" s="36" t="str">
        <f t="array" ref="R564">IF(AND($Y564="change",$H564="EUR"),IF(AND($AA564="Crédit",$O564=$O565),$R565,IF(AND($AA564="Débit",$O564=$O563),$R563)),IF(OR(AND(OR($E564&lt;&gt;"",$M564=""),$N564&lt;&gt;0),$A564=""),IFERROR(INDEX(Investment!$H:$H,MATCH($E564,Investment!$F:$F,0))),IFERROR(INDEX($R565:$R1119,MATCH(SUBSTITUTE($I564,"-","",1),$K565:$K1119,0)),INDEX($R565:$R1119,MATCH($K564,$K565:$K1119,0)))))</f>
        <v/>
      </c>
      <c r="S564" s="35" t="str">
        <f t="shared" si="2"/>
        <v/>
      </c>
      <c r="T564" s="37" t="str">
        <f t="shared" si="3"/>
        <v/>
      </c>
      <c r="U564" s="38" t="str">
        <f t="shared" si="4"/>
        <v/>
      </c>
      <c r="V564" s="31" t="str">
        <f t="shared" si="5"/>
        <v/>
      </c>
      <c r="W564" s="39" t="str">
        <f>IFERROR(__xludf.DUMMYFUNCTION(" IF(Account!$F564&lt;&gt;"""", SPLIT(Account!$F564, "" ""), """")"),"")</f>
        <v/>
      </c>
      <c r="X564" s="40"/>
      <c r="Y564" s="40"/>
      <c r="Z564" s="40"/>
      <c r="AA564" s="40"/>
      <c r="AB564" s="40"/>
      <c r="AC564" s="40"/>
      <c r="AD564" s="40"/>
      <c r="AE564" s="40"/>
      <c r="AF564" s="40"/>
      <c r="AG564" s="40"/>
      <c r="AH564" s="40"/>
      <c r="AI564" s="40"/>
      <c r="AJ564" s="40"/>
      <c r="AK564" s="40"/>
    </row>
    <row r="565">
      <c r="A565" s="10"/>
      <c r="B565" s="10"/>
      <c r="C565" s="10"/>
      <c r="D565" s="10"/>
      <c r="E565" s="10"/>
      <c r="F565" s="12"/>
      <c r="G565" s="300"/>
      <c r="H565" s="10"/>
      <c r="I565" s="10"/>
      <c r="J565" s="10"/>
      <c r="K565" s="10"/>
      <c r="L565" s="12"/>
      <c r="M565" s="29" t="str">
        <f t="shared" si="1"/>
        <v/>
      </c>
      <c r="N565" s="31" t="str">
        <f>IFERROR(__xludf.DUMMYFUNCTION("IF(Account!$F565&lt;&gt;"""", VALUE(REGEXREPLACE($I565, ""\,"", ""."")), """")"),"")</f>
        <v/>
      </c>
      <c r="O565" s="33" t="str">
        <f>IF(Account!$F565&lt;&gt;"", DATEVALUE(MID($A565,4,3) &amp; LEFT($A565,3) &amp; RIGHT($A565,4)) + TIMEVALUE($B565), "")</f>
        <v/>
      </c>
      <c r="P565" s="34" t="str">
        <f>IF(Account!$F565&lt;&gt;"", DATEVALUE(MID($C565,4,3) &amp; LEFT($C565,3) &amp; RIGHT($C565,4)), "")</f>
        <v/>
      </c>
      <c r="Q565" s="35" t="str">
        <f t="array" ref="Q565">IF($R565&lt;&gt;"",IFERROR(INDEX(Investment!$A:$A,MATCH($R565,Investment!$H:$H,0))),)</f>
        <v/>
      </c>
      <c r="R565" s="36" t="str">
        <f t="array" ref="R565">IF(AND($Y565="change",$H565="EUR"),IF(AND($AA565="Crédit",$O565=$O566),$R566,IF(AND($AA565="Débit",$O565=$O564),$R564)),IF(OR(AND(OR($E565&lt;&gt;"",$M565=""),$N565&lt;&gt;0),$A565=""),IFERROR(INDEX(Investment!$H:$H,MATCH($E565,Investment!$F:$F,0))),IFERROR(INDEX($R566:$R1119,MATCH(SUBSTITUTE($I565,"-","",1),$K566:$K1119,0)),INDEX($R566:$R1119,MATCH($K565,$K566:$K1119,0)))))</f>
        <v/>
      </c>
      <c r="S565" s="35" t="str">
        <f t="shared" si="2"/>
        <v/>
      </c>
      <c r="T565" s="37" t="str">
        <f t="shared" si="3"/>
        <v/>
      </c>
      <c r="U565" s="38" t="str">
        <f t="shared" si="4"/>
        <v/>
      </c>
      <c r="V565" s="31" t="str">
        <f t="shared" si="5"/>
        <v/>
      </c>
      <c r="W565" s="39" t="str">
        <f>IFERROR(__xludf.DUMMYFUNCTION(" IF(Account!$F565&lt;&gt;"""", SPLIT(Account!$F565, "" ""), """")"),"")</f>
        <v/>
      </c>
      <c r="X565" s="40"/>
      <c r="Y565" s="40"/>
      <c r="Z565" s="40"/>
      <c r="AA565" s="40"/>
      <c r="AB565" s="40"/>
      <c r="AC565" s="40"/>
      <c r="AD565" s="40"/>
      <c r="AE565" s="40"/>
      <c r="AF565" s="40"/>
      <c r="AG565" s="40"/>
      <c r="AH565" s="40"/>
      <c r="AI565" s="40"/>
      <c r="AJ565" s="40"/>
      <c r="AK565" s="40"/>
    </row>
    <row r="566">
      <c r="A566" s="10"/>
      <c r="B566" s="10"/>
      <c r="C566" s="10"/>
      <c r="D566" s="10"/>
      <c r="E566" s="10"/>
      <c r="F566" s="12"/>
      <c r="G566" s="300"/>
      <c r="H566" s="10"/>
      <c r="I566" s="10"/>
      <c r="J566" s="10"/>
      <c r="K566" s="10"/>
      <c r="L566" s="12"/>
      <c r="M566" s="29" t="str">
        <f t="shared" si="1"/>
        <v/>
      </c>
      <c r="N566" s="31" t="str">
        <f>IFERROR(__xludf.DUMMYFUNCTION("IF(Account!$F566&lt;&gt;"""", VALUE(REGEXREPLACE($I566, ""\,"", ""."")), """")"),"")</f>
        <v/>
      </c>
      <c r="O566" s="33" t="str">
        <f>IF(Account!$F566&lt;&gt;"", DATEVALUE(MID($A566,4,3) &amp; LEFT($A566,3) &amp; RIGHT($A566,4)) + TIMEVALUE($B566), "")</f>
        <v/>
      </c>
      <c r="P566" s="34" t="str">
        <f>IF(Account!$F566&lt;&gt;"", DATEVALUE(MID($C566,4,3) &amp; LEFT($C566,3) &amp; RIGHT($C566,4)), "")</f>
        <v/>
      </c>
      <c r="Q566" s="35" t="str">
        <f t="array" ref="Q566">IF($R566&lt;&gt;"",IFERROR(INDEX(Investment!$A:$A,MATCH($R566,Investment!$H:$H,0))),)</f>
        <v/>
      </c>
      <c r="R566" s="36" t="str">
        <f t="array" ref="R566">IF(AND($Y566="change",$H566="EUR"),IF(AND($AA566="Crédit",$O566=$O567),$R567,IF(AND($AA566="Débit",$O566=$O565),$R565)),IF(OR(AND(OR($E566&lt;&gt;"",$M566=""),$N566&lt;&gt;0),$A566=""),IFERROR(INDEX(Investment!$H:$H,MATCH($E566,Investment!$F:$F,0))),IFERROR(INDEX($R567:$R1119,MATCH(SUBSTITUTE($I566,"-","",1),$K567:$K1119,0)),INDEX($R567:$R1119,MATCH($K566,$K567:$K1119,0)))))</f>
        <v/>
      </c>
      <c r="S566" s="35" t="str">
        <f t="shared" si="2"/>
        <v/>
      </c>
      <c r="T566" s="37" t="str">
        <f t="shared" si="3"/>
        <v/>
      </c>
      <c r="U566" s="38" t="str">
        <f t="shared" si="4"/>
        <v/>
      </c>
      <c r="V566" s="31" t="str">
        <f t="shared" si="5"/>
        <v/>
      </c>
      <c r="W566" s="39" t="str">
        <f>IFERROR(__xludf.DUMMYFUNCTION(" IF(Account!$F566&lt;&gt;"""", SPLIT(Account!$F566, "" ""), """")"),"")</f>
        <v/>
      </c>
      <c r="X566" s="40"/>
      <c r="Y566" s="40"/>
      <c r="Z566" s="40"/>
      <c r="AA566" s="40"/>
      <c r="AB566" s="40"/>
      <c r="AC566" s="40"/>
      <c r="AD566" s="40"/>
      <c r="AE566" s="40"/>
      <c r="AF566" s="40"/>
      <c r="AG566" s="40"/>
      <c r="AH566" s="40"/>
      <c r="AI566" s="40"/>
      <c r="AJ566" s="40"/>
      <c r="AK566" s="40"/>
    </row>
    <row r="567">
      <c r="A567" s="10"/>
      <c r="B567" s="10"/>
      <c r="C567" s="10"/>
      <c r="D567" s="10"/>
      <c r="E567" s="10"/>
      <c r="F567" s="12"/>
      <c r="G567" s="300"/>
      <c r="H567" s="10"/>
      <c r="I567" s="10"/>
      <c r="J567" s="10"/>
      <c r="K567" s="10"/>
      <c r="L567" s="12"/>
      <c r="M567" s="29" t="str">
        <f t="shared" si="1"/>
        <v/>
      </c>
      <c r="N567" s="31" t="str">
        <f>IFERROR(__xludf.DUMMYFUNCTION("IF(Account!$F567&lt;&gt;"""", VALUE(REGEXREPLACE($I567, ""\,"", ""."")), """")"),"")</f>
        <v/>
      </c>
      <c r="O567" s="33" t="str">
        <f>IF(Account!$F567&lt;&gt;"", DATEVALUE(MID($A567,4,3) &amp; LEFT($A567,3) &amp; RIGHT($A567,4)) + TIMEVALUE($B567), "")</f>
        <v/>
      </c>
      <c r="P567" s="34" t="str">
        <f>IF(Account!$F567&lt;&gt;"", DATEVALUE(MID($C567,4,3) &amp; LEFT($C567,3) &amp; RIGHT($C567,4)), "")</f>
        <v/>
      </c>
      <c r="Q567" s="35" t="str">
        <f t="array" ref="Q567">IF($R567&lt;&gt;"",IFERROR(INDEX(Investment!$A:$A,MATCH($R567,Investment!$H:$H,0))),)</f>
        <v/>
      </c>
      <c r="R567" s="36" t="str">
        <f t="array" ref="R567">IF(AND($Y567="change",$H567="EUR"),IF(AND($AA567="Crédit",$O567=$O568),$R568,IF(AND($AA567="Débit",$O567=$O566),$R566)),IF(OR(AND(OR($E567&lt;&gt;"",$M567=""),$N567&lt;&gt;0),$A567=""),IFERROR(INDEX(Investment!$H:$H,MATCH($E567,Investment!$F:$F,0))),IFERROR(INDEX($R568:$R1119,MATCH(SUBSTITUTE($I567,"-","",1),$K568:$K1119,0)),INDEX($R568:$R1119,MATCH($K567,$K568:$K1119,0)))))</f>
        <v/>
      </c>
      <c r="S567" s="35" t="str">
        <f t="shared" si="2"/>
        <v/>
      </c>
      <c r="T567" s="37" t="str">
        <f t="shared" si="3"/>
        <v/>
      </c>
      <c r="U567" s="38" t="str">
        <f t="shared" si="4"/>
        <v/>
      </c>
      <c r="V567" s="31" t="str">
        <f t="shared" si="5"/>
        <v/>
      </c>
      <c r="W567" s="39" t="str">
        <f>IFERROR(__xludf.DUMMYFUNCTION(" IF(Account!$F567&lt;&gt;"""", SPLIT(Account!$F567, "" ""), """")"),"")</f>
        <v/>
      </c>
      <c r="X567" s="40"/>
      <c r="Y567" s="40"/>
      <c r="Z567" s="40"/>
      <c r="AA567" s="40"/>
      <c r="AB567" s="40"/>
      <c r="AC567" s="40"/>
      <c r="AD567" s="40"/>
      <c r="AE567" s="40"/>
      <c r="AF567" s="40"/>
      <c r="AG567" s="40"/>
      <c r="AH567" s="40"/>
      <c r="AI567" s="40"/>
      <c r="AJ567" s="40"/>
      <c r="AK567" s="40"/>
    </row>
    <row r="568">
      <c r="A568" s="10"/>
      <c r="B568" s="10"/>
      <c r="C568" s="10"/>
      <c r="D568" s="10"/>
      <c r="E568" s="10"/>
      <c r="F568" s="12"/>
      <c r="G568" s="10"/>
      <c r="H568" s="10"/>
      <c r="I568" s="10"/>
      <c r="J568" s="10"/>
      <c r="K568" s="10"/>
      <c r="L568" s="12"/>
      <c r="M568" s="29" t="str">
        <f t="shared" si="1"/>
        <v/>
      </c>
      <c r="N568" s="31" t="str">
        <f>IFERROR(__xludf.DUMMYFUNCTION("IF(Account!$F568&lt;&gt;"""", VALUE(REGEXREPLACE($I568, ""\,"", ""."")), """")"),"")</f>
        <v/>
      </c>
      <c r="O568" s="33" t="str">
        <f>IF(Account!$F568&lt;&gt;"", DATEVALUE(MID($A568,4,3) &amp; LEFT($A568,3) &amp; RIGHT($A568,4)) + TIMEVALUE($B568), "")</f>
        <v/>
      </c>
      <c r="P568" s="34" t="str">
        <f>IF(Account!$F568&lt;&gt;"", DATEVALUE(MID($C568,4,3) &amp; LEFT($C568,3) &amp; RIGHT($C568,4)), "")</f>
        <v/>
      </c>
      <c r="Q568" s="35" t="str">
        <f t="array" ref="Q568">IF($R568&lt;&gt;"",IFERROR(INDEX(Investment!$A:$A,MATCH($R568,Investment!$H:$H,0))),)</f>
        <v/>
      </c>
      <c r="R568" s="36" t="str">
        <f t="array" ref="R568">IF(AND($Y568="change",$H568="EUR"),IF(AND($AA568="Crédit",$O568=$O569),$R569,IF(AND($AA568="Débit",$O568=$O567),$R567)),IF(OR(AND(OR($E568&lt;&gt;"",$M568=""),$N568&lt;&gt;0),$A568=""),IFERROR(INDEX(Investment!$H:$H,MATCH($E568,Investment!$F:$F,0))),IFERROR(INDEX($R569:$R1119,MATCH(SUBSTITUTE($I568,"-","",1),$K569:$K1119,0)),INDEX($R569:$R1119,MATCH($K568,$K569:$K1119,0)))))</f>
        <v/>
      </c>
      <c r="S568" s="35" t="str">
        <f t="shared" si="2"/>
        <v/>
      </c>
      <c r="T568" s="37" t="str">
        <f t="shared" si="3"/>
        <v/>
      </c>
      <c r="U568" s="38" t="str">
        <f t="shared" si="4"/>
        <v/>
      </c>
      <c r="V568" s="31" t="str">
        <f t="shared" si="5"/>
        <v/>
      </c>
      <c r="W568" s="39" t="str">
        <f>IFERROR(__xludf.DUMMYFUNCTION(" IF(Account!$F568&lt;&gt;"""", SPLIT(Account!$F568, "" ""), """")"),"")</f>
        <v/>
      </c>
      <c r="X568" s="40"/>
      <c r="Y568" s="40"/>
      <c r="Z568" s="40"/>
      <c r="AA568" s="40"/>
      <c r="AB568" s="40"/>
      <c r="AC568" s="40"/>
      <c r="AD568" s="40"/>
      <c r="AE568" s="40"/>
      <c r="AF568" s="40"/>
      <c r="AG568" s="40"/>
      <c r="AH568" s="40"/>
      <c r="AI568" s="40"/>
      <c r="AJ568" s="40"/>
      <c r="AK568" s="40"/>
    </row>
    <row r="569">
      <c r="A569" s="10"/>
      <c r="B569" s="10"/>
      <c r="C569" s="10"/>
      <c r="D569" s="10"/>
      <c r="E569" s="10"/>
      <c r="F569" s="12"/>
      <c r="G569" s="300"/>
      <c r="H569" s="10"/>
      <c r="I569" s="10"/>
      <c r="J569" s="10"/>
      <c r="K569" s="10"/>
      <c r="L569" s="12"/>
      <c r="M569" s="29" t="str">
        <f t="shared" si="1"/>
        <v/>
      </c>
      <c r="N569" s="31" t="str">
        <f>IFERROR(__xludf.DUMMYFUNCTION("IF(Account!$F569&lt;&gt;"""", VALUE(REGEXREPLACE($I569, ""\,"", ""."")), """")"),"")</f>
        <v/>
      </c>
      <c r="O569" s="33" t="str">
        <f>IF(Account!$F569&lt;&gt;"", DATEVALUE(MID($A569,4,3) &amp; LEFT($A569,3) &amp; RIGHT($A569,4)) + TIMEVALUE($B569), "")</f>
        <v/>
      </c>
      <c r="P569" s="34" t="str">
        <f>IF(Account!$F569&lt;&gt;"", DATEVALUE(MID($C569,4,3) &amp; LEFT($C569,3) &amp; RIGHT($C569,4)), "")</f>
        <v/>
      </c>
      <c r="Q569" s="35" t="str">
        <f t="array" ref="Q569">IF($R569&lt;&gt;"",IFERROR(INDEX(Investment!$A:$A,MATCH($R569,Investment!$H:$H,0))),)</f>
        <v/>
      </c>
      <c r="R569" s="36" t="str">
        <f t="array" ref="R569">IF(AND($Y569="change",$H569="EUR"),IF(AND($AA569="Crédit",$O569=$O570),$R570,IF(AND($AA569="Débit",$O569=$O568),$R568)),IF(OR(AND(OR($E569&lt;&gt;"",$M569=""),$N569&lt;&gt;0),$A569=""),IFERROR(INDEX(Investment!$H:$H,MATCH($E569,Investment!$F:$F,0))),IFERROR(INDEX($R570:$R1119,MATCH(SUBSTITUTE($I569,"-","",1),$K570:$K1119,0)),INDEX($R570:$R1119,MATCH($K569,$K570:$K1119,0)))))</f>
        <v/>
      </c>
      <c r="S569" s="35" t="str">
        <f t="shared" si="2"/>
        <v/>
      </c>
      <c r="T569" s="37" t="str">
        <f t="shared" si="3"/>
        <v/>
      </c>
      <c r="U569" s="38" t="str">
        <f t="shared" si="4"/>
        <v/>
      </c>
      <c r="V569" s="31" t="str">
        <f t="shared" si="5"/>
        <v/>
      </c>
      <c r="W569" s="39" t="str">
        <f>IFERROR(__xludf.DUMMYFUNCTION(" IF(Account!$F569&lt;&gt;"""", SPLIT(Account!$F569, "" ""), """")"),"")</f>
        <v/>
      </c>
      <c r="X569" s="40"/>
      <c r="Y569" s="40"/>
      <c r="Z569" s="40"/>
      <c r="AA569" s="40"/>
      <c r="AB569" s="40"/>
      <c r="AC569" s="40"/>
      <c r="AD569" s="40"/>
      <c r="AE569" s="40"/>
      <c r="AF569" s="40"/>
      <c r="AG569" s="40"/>
      <c r="AH569" s="40"/>
      <c r="AI569" s="40"/>
      <c r="AJ569" s="40"/>
      <c r="AK569" s="40"/>
    </row>
    <row r="570">
      <c r="A570" s="10"/>
      <c r="B570" s="10"/>
      <c r="C570" s="10"/>
      <c r="D570" s="10"/>
      <c r="E570" s="10"/>
      <c r="F570" s="12"/>
      <c r="G570" s="300"/>
      <c r="H570" s="10"/>
      <c r="I570" s="10"/>
      <c r="J570" s="10"/>
      <c r="K570" s="10"/>
      <c r="L570" s="12"/>
      <c r="M570" s="29" t="str">
        <f t="shared" si="1"/>
        <v/>
      </c>
      <c r="N570" s="31" t="str">
        <f>IFERROR(__xludf.DUMMYFUNCTION("IF(Account!$F570&lt;&gt;"""", VALUE(REGEXREPLACE($I570, ""\,"", ""."")), """")"),"")</f>
        <v/>
      </c>
      <c r="O570" s="33" t="str">
        <f>IF(Account!$F570&lt;&gt;"", DATEVALUE(MID($A570,4,3) &amp; LEFT($A570,3) &amp; RIGHT($A570,4)) + TIMEVALUE($B570), "")</f>
        <v/>
      </c>
      <c r="P570" s="34" t="str">
        <f>IF(Account!$F570&lt;&gt;"", DATEVALUE(MID($C570,4,3) &amp; LEFT($C570,3) &amp; RIGHT($C570,4)), "")</f>
        <v/>
      </c>
      <c r="Q570" s="35" t="str">
        <f t="array" ref="Q570">IF($R570&lt;&gt;"",IFERROR(INDEX(Investment!$A:$A,MATCH($R570,Investment!$H:$H,0))),)</f>
        <v/>
      </c>
      <c r="R570" s="36" t="str">
        <f t="array" ref="R570">IF(AND($Y570="change",$H570="EUR"),IF(AND($AA570="Crédit",$O570=$O571),$R571,IF(AND($AA570="Débit",$O570=$O569),$R569)),IF(OR(AND(OR($E570&lt;&gt;"",$M570=""),$N570&lt;&gt;0),$A570=""),IFERROR(INDEX(Investment!$H:$H,MATCH($E570,Investment!$F:$F,0))),IFERROR(INDEX($R571:$R1119,MATCH(SUBSTITUTE($I570,"-","",1),$K571:$K1119,0)),INDEX($R571:$R1119,MATCH($K570,$K571:$K1119,0)))))</f>
        <v/>
      </c>
      <c r="S570" s="35" t="str">
        <f t="shared" si="2"/>
        <v/>
      </c>
      <c r="T570" s="37" t="str">
        <f t="shared" si="3"/>
        <v/>
      </c>
      <c r="U570" s="38" t="str">
        <f t="shared" si="4"/>
        <v/>
      </c>
      <c r="V570" s="31" t="str">
        <f t="shared" si="5"/>
        <v/>
      </c>
      <c r="W570" s="39" t="str">
        <f>IFERROR(__xludf.DUMMYFUNCTION(" IF(Account!$F570&lt;&gt;"""", SPLIT(Account!$F570, "" ""), """")"),"")</f>
        <v/>
      </c>
      <c r="X570" s="40"/>
      <c r="Y570" s="40"/>
      <c r="Z570" s="40"/>
      <c r="AA570" s="40"/>
      <c r="AB570" s="40"/>
      <c r="AC570" s="40"/>
      <c r="AD570" s="40"/>
      <c r="AE570" s="40"/>
      <c r="AF570" s="40"/>
      <c r="AG570" s="40"/>
      <c r="AH570" s="40"/>
      <c r="AI570" s="40"/>
      <c r="AJ570" s="40"/>
      <c r="AK570" s="40"/>
    </row>
    <row r="571">
      <c r="A571" s="10"/>
      <c r="B571" s="10"/>
      <c r="C571" s="10"/>
      <c r="D571" s="10"/>
      <c r="E571" s="10"/>
      <c r="F571" s="12"/>
      <c r="G571" s="10"/>
      <c r="H571" s="10"/>
      <c r="I571" s="10"/>
      <c r="J571" s="10"/>
      <c r="K571" s="10"/>
      <c r="L571" s="12"/>
      <c r="M571" s="29" t="str">
        <f t="shared" si="1"/>
        <v/>
      </c>
      <c r="N571" s="31" t="str">
        <f>IFERROR(__xludf.DUMMYFUNCTION("IF(Account!$F571&lt;&gt;"""", VALUE(REGEXREPLACE($I571, ""\,"", ""."")), """")"),"")</f>
        <v/>
      </c>
      <c r="O571" s="33" t="str">
        <f>IF(Account!$F571&lt;&gt;"", DATEVALUE(MID($A571,4,3) &amp; LEFT($A571,3) &amp; RIGHT($A571,4)) + TIMEVALUE($B571), "")</f>
        <v/>
      </c>
      <c r="P571" s="34" t="str">
        <f>IF(Account!$F571&lt;&gt;"", DATEVALUE(MID($C571,4,3) &amp; LEFT($C571,3) &amp; RIGHT($C571,4)), "")</f>
        <v/>
      </c>
      <c r="Q571" s="35" t="str">
        <f t="array" ref="Q571">IF($R571&lt;&gt;"",IFERROR(INDEX(Investment!$A:$A,MATCH($R571,Investment!$H:$H,0))),)</f>
        <v/>
      </c>
      <c r="R571" s="36" t="str">
        <f t="array" ref="R571">IF(AND($Y571="change",$H571="EUR"),IF(AND($AA571="Crédit",$O571=$O572),$R572,IF(AND($AA571="Débit",$O571=$O570),$R570)),IF(OR(AND(OR($E571&lt;&gt;"",$M571=""),$N571&lt;&gt;0),$A571=""),IFERROR(INDEX(Investment!$H:$H,MATCH($E571,Investment!$F:$F,0))),IFERROR(INDEX($R572:$R1119,MATCH(SUBSTITUTE($I571,"-","",1),$K572:$K1119,0)),INDEX($R572:$R1119,MATCH($K571,$K572:$K1119,0)))))</f>
        <v/>
      </c>
      <c r="S571" s="35" t="str">
        <f t="shared" si="2"/>
        <v/>
      </c>
      <c r="T571" s="37" t="str">
        <f t="shared" si="3"/>
        <v/>
      </c>
      <c r="U571" s="38" t="str">
        <f t="shared" si="4"/>
        <v/>
      </c>
      <c r="V571" s="31" t="str">
        <f t="shared" si="5"/>
        <v/>
      </c>
      <c r="W571" s="39" t="str">
        <f>IFERROR(__xludf.DUMMYFUNCTION(" IF(Account!$F571&lt;&gt;"""", SPLIT(Account!$F571, "" ""), """")"),"")</f>
        <v/>
      </c>
      <c r="X571" s="40"/>
      <c r="Y571" s="40"/>
      <c r="Z571" s="40"/>
      <c r="AA571" s="40"/>
      <c r="AB571" s="40"/>
      <c r="AC571" s="40"/>
      <c r="AD571" s="40"/>
      <c r="AE571" s="40"/>
      <c r="AF571" s="40"/>
      <c r="AG571" s="40"/>
      <c r="AH571" s="40"/>
      <c r="AI571" s="40"/>
      <c r="AJ571" s="40"/>
      <c r="AK571" s="40"/>
    </row>
    <row r="572">
      <c r="A572" s="10"/>
      <c r="B572" s="10"/>
      <c r="C572" s="10"/>
      <c r="D572" s="10"/>
      <c r="E572" s="10"/>
      <c r="F572" s="12"/>
      <c r="G572" s="300"/>
      <c r="H572" s="10"/>
      <c r="I572" s="10"/>
      <c r="J572" s="10"/>
      <c r="K572" s="10"/>
      <c r="L572" s="12"/>
      <c r="M572" s="29" t="str">
        <f t="shared" si="1"/>
        <v/>
      </c>
      <c r="N572" s="31" t="str">
        <f>IFERROR(__xludf.DUMMYFUNCTION("IF(Account!$F572&lt;&gt;"""", VALUE(REGEXREPLACE($I572, ""\,"", ""."")), """")"),"")</f>
        <v/>
      </c>
      <c r="O572" s="33" t="str">
        <f>IF(Account!$F572&lt;&gt;"", DATEVALUE(MID($A572,4,3) &amp; LEFT($A572,3) &amp; RIGHT($A572,4)) + TIMEVALUE($B572), "")</f>
        <v/>
      </c>
      <c r="P572" s="34" t="str">
        <f>IF(Account!$F572&lt;&gt;"", DATEVALUE(MID($C572,4,3) &amp; LEFT($C572,3) &amp; RIGHT($C572,4)), "")</f>
        <v/>
      </c>
      <c r="Q572" s="35" t="str">
        <f t="array" ref="Q572">IF($R572&lt;&gt;"",IFERROR(INDEX(Investment!$A:$A,MATCH($R572,Investment!$H:$H,0))),)</f>
        <v/>
      </c>
      <c r="R572" s="36" t="str">
        <f t="array" ref="R572">IF(AND($Y572="change",$H572="EUR"),IF(AND($AA572="Crédit",$O572=$O573),$R573,IF(AND($AA572="Débit",$O572=$O571),$R571)),IF(OR(AND(OR($E572&lt;&gt;"",$M572=""),$N572&lt;&gt;0),$A572=""),IFERROR(INDEX(Investment!$H:$H,MATCH($E572,Investment!$F:$F,0))),IFERROR(INDEX($R573:$R1119,MATCH(SUBSTITUTE($I572,"-","",1),$K573:$K1119,0)),INDEX($R573:$R1119,MATCH($K572,$K573:$K1119,0)))))</f>
        <v/>
      </c>
      <c r="S572" s="35" t="str">
        <f t="shared" si="2"/>
        <v/>
      </c>
      <c r="T572" s="37" t="str">
        <f t="shared" si="3"/>
        <v/>
      </c>
      <c r="U572" s="38" t="str">
        <f t="shared" si="4"/>
        <v/>
      </c>
      <c r="V572" s="31" t="str">
        <f t="shared" si="5"/>
        <v/>
      </c>
      <c r="W572" s="39" t="str">
        <f>IFERROR(__xludf.DUMMYFUNCTION(" IF(Account!$F572&lt;&gt;"""", SPLIT(Account!$F572, "" ""), """")"),"")</f>
        <v/>
      </c>
      <c r="X572" s="40"/>
      <c r="Y572" s="40"/>
      <c r="Z572" s="40"/>
      <c r="AA572" s="40"/>
      <c r="AB572" s="40"/>
      <c r="AC572" s="40"/>
      <c r="AD572" s="40"/>
      <c r="AE572" s="40"/>
      <c r="AF572" s="40"/>
      <c r="AG572" s="40"/>
      <c r="AH572" s="40"/>
      <c r="AI572" s="40"/>
      <c r="AJ572" s="40"/>
      <c r="AK572" s="40"/>
    </row>
    <row r="573">
      <c r="A573" s="10"/>
      <c r="B573" s="10"/>
      <c r="C573" s="10"/>
      <c r="D573" s="10"/>
      <c r="E573" s="10"/>
      <c r="F573" s="12"/>
      <c r="G573" s="300"/>
      <c r="H573" s="10"/>
      <c r="I573" s="10"/>
      <c r="J573" s="10"/>
      <c r="K573" s="10"/>
      <c r="L573" s="12"/>
      <c r="M573" s="29" t="str">
        <f t="shared" si="1"/>
        <v/>
      </c>
      <c r="N573" s="31" t="str">
        <f>IFERROR(__xludf.DUMMYFUNCTION("IF(Account!$F573&lt;&gt;"""", VALUE(REGEXREPLACE($I573, ""\,"", ""."")), """")"),"")</f>
        <v/>
      </c>
      <c r="O573" s="33" t="str">
        <f>IF(Account!$F573&lt;&gt;"", DATEVALUE(MID($A573,4,3) &amp; LEFT($A573,3) &amp; RIGHT($A573,4)) + TIMEVALUE($B573), "")</f>
        <v/>
      </c>
      <c r="P573" s="34" t="str">
        <f>IF(Account!$F573&lt;&gt;"", DATEVALUE(MID($C573,4,3) &amp; LEFT($C573,3) &amp; RIGHT($C573,4)), "")</f>
        <v/>
      </c>
      <c r="Q573" s="35" t="str">
        <f t="array" ref="Q573">IF($R573&lt;&gt;"",IFERROR(INDEX(Investment!$A:$A,MATCH($R573,Investment!$H:$H,0))),)</f>
        <v/>
      </c>
      <c r="R573" s="36" t="str">
        <f t="array" ref="R573">IF(AND($Y573="change",$H573="EUR"),IF(AND($AA573="Crédit",$O573=$O574),$R574,IF(AND($AA573="Débit",$O573=$O572),$R572)),IF(OR(AND(OR($E573&lt;&gt;"",$M573=""),$N573&lt;&gt;0),$A573=""),IFERROR(INDEX(Investment!$H:$H,MATCH($E573,Investment!$F:$F,0))),IFERROR(INDEX($R574:$R1119,MATCH(SUBSTITUTE($I573,"-","",1),$K574:$K1119,0)),INDEX($R574:$R1119,MATCH($K573,$K574:$K1119,0)))))</f>
        <v/>
      </c>
      <c r="S573" s="35" t="str">
        <f t="shared" si="2"/>
        <v/>
      </c>
      <c r="T573" s="37" t="str">
        <f t="shared" si="3"/>
        <v/>
      </c>
      <c r="U573" s="38" t="str">
        <f t="shared" si="4"/>
        <v/>
      </c>
      <c r="V573" s="31" t="str">
        <f t="shared" si="5"/>
        <v/>
      </c>
      <c r="W573" s="39" t="str">
        <f>IFERROR(__xludf.DUMMYFUNCTION(" IF(Account!$F573&lt;&gt;"""", SPLIT(Account!$F573, "" ""), """")"),"")</f>
        <v/>
      </c>
      <c r="X573" s="40"/>
      <c r="Y573" s="40"/>
      <c r="Z573" s="40"/>
      <c r="AA573" s="40"/>
      <c r="AB573" s="40"/>
      <c r="AC573" s="40"/>
      <c r="AD573" s="40"/>
      <c r="AE573" s="40"/>
      <c r="AF573" s="40"/>
      <c r="AG573" s="40"/>
      <c r="AH573" s="40"/>
      <c r="AI573" s="40"/>
      <c r="AJ573" s="40"/>
      <c r="AK573" s="40"/>
    </row>
    <row r="574">
      <c r="A574" s="10"/>
      <c r="B574" s="10"/>
      <c r="C574" s="10"/>
      <c r="D574" s="300"/>
      <c r="E574" s="300"/>
      <c r="F574" s="12"/>
      <c r="G574" s="300"/>
      <c r="H574" s="10"/>
      <c r="I574" s="10"/>
      <c r="J574" s="10"/>
      <c r="K574" s="10"/>
      <c r="L574" s="12"/>
      <c r="M574" s="29" t="str">
        <f t="shared" si="1"/>
        <v/>
      </c>
      <c r="N574" s="31" t="str">
        <f>IFERROR(__xludf.DUMMYFUNCTION("IF(Account!$F574&lt;&gt;"""", VALUE(REGEXREPLACE($I574, ""\,"", ""."")), """")"),"")</f>
        <v/>
      </c>
      <c r="O574" s="33" t="str">
        <f>IF(Account!$F574&lt;&gt;"", DATEVALUE(MID($A574,4,3) &amp; LEFT($A574,3) &amp; RIGHT($A574,4)) + TIMEVALUE($B574), "")</f>
        <v/>
      </c>
      <c r="P574" s="34" t="str">
        <f>IF(Account!$F574&lt;&gt;"", DATEVALUE(MID($C574,4,3) &amp; LEFT($C574,3) &amp; RIGHT($C574,4)), "")</f>
        <v/>
      </c>
      <c r="Q574" s="35" t="str">
        <f t="array" ref="Q574">IF($R574&lt;&gt;"",IFERROR(INDEX(Investment!$A:$A,MATCH($R574,Investment!$H:$H,0))),)</f>
        <v/>
      </c>
      <c r="R574" s="36" t="str">
        <f t="array" ref="R574">IF(AND($Y574="change",$H574="EUR"),IF(AND($AA574="Crédit",$O574=$O575),$R575,IF(AND($AA574="Débit",$O574=$O573),$R573)),IF(OR(AND(OR($E574&lt;&gt;"",$M574=""),$N574&lt;&gt;0),$A574=""),IFERROR(INDEX(Investment!$H:$H,MATCH($E574,Investment!$F:$F,0))),IFERROR(INDEX($R575:$R1119,MATCH(SUBSTITUTE($I574,"-","",1),$K575:$K1119,0)),INDEX($R575:$R1119,MATCH($K574,$K575:$K1119,0)))))</f>
        <v/>
      </c>
      <c r="S574" s="35" t="str">
        <f t="shared" si="2"/>
        <v/>
      </c>
      <c r="T574" s="37" t="str">
        <f t="shared" si="3"/>
        <v/>
      </c>
      <c r="U574" s="38" t="str">
        <f t="shared" si="4"/>
        <v/>
      </c>
      <c r="V574" s="31" t="str">
        <f t="shared" si="5"/>
        <v/>
      </c>
      <c r="W574" s="39" t="str">
        <f>IFERROR(__xludf.DUMMYFUNCTION(" IF(Account!$F574&lt;&gt;"""", SPLIT(Account!$F574, "" ""), """")"),"")</f>
        <v/>
      </c>
      <c r="X574" s="40"/>
      <c r="Y574" s="40"/>
      <c r="Z574" s="40"/>
      <c r="AA574" s="40"/>
      <c r="AB574" s="40"/>
      <c r="AC574" s="40"/>
      <c r="AD574" s="40"/>
      <c r="AE574" s="40"/>
      <c r="AF574" s="40"/>
      <c r="AG574" s="40"/>
      <c r="AH574" s="40"/>
      <c r="AI574" s="40"/>
      <c r="AJ574" s="40"/>
      <c r="AK574" s="40"/>
    </row>
    <row r="575">
      <c r="A575" s="10"/>
      <c r="B575" s="10"/>
      <c r="C575" s="10"/>
      <c r="D575" s="300"/>
      <c r="E575" s="300"/>
      <c r="F575" s="12"/>
      <c r="G575" s="300"/>
      <c r="H575" s="10"/>
      <c r="I575" s="10"/>
      <c r="J575" s="10"/>
      <c r="K575" s="10"/>
      <c r="L575" s="12"/>
      <c r="M575" s="29" t="str">
        <f t="shared" si="1"/>
        <v/>
      </c>
      <c r="N575" s="31" t="str">
        <f>IFERROR(__xludf.DUMMYFUNCTION("IF(Account!$F575&lt;&gt;"""", VALUE(REGEXREPLACE($I575, ""\,"", ""."")), """")"),"")</f>
        <v/>
      </c>
      <c r="O575" s="33" t="str">
        <f>IF(Account!$F575&lt;&gt;"", DATEVALUE(MID($A575,4,3) &amp; LEFT($A575,3) &amp; RIGHT($A575,4)) + TIMEVALUE($B575), "")</f>
        <v/>
      </c>
      <c r="P575" s="34" t="str">
        <f>IF(Account!$F575&lt;&gt;"", DATEVALUE(MID($C575,4,3) &amp; LEFT($C575,3) &amp; RIGHT($C575,4)), "")</f>
        <v/>
      </c>
      <c r="Q575" s="35" t="str">
        <f t="array" ref="Q575">IF($R575&lt;&gt;"",IFERROR(INDEX(Investment!$A:$A,MATCH($R575,Investment!$H:$H,0))),)</f>
        <v/>
      </c>
      <c r="R575" s="36" t="str">
        <f t="array" ref="R575">IF(AND($Y575="change",$H575="EUR"),IF(AND($AA575="Crédit",$O575=$O576),$R576,IF(AND($AA575="Débit",$O575=$O574),$R574)),IF(OR(AND(OR($E575&lt;&gt;"",$M575=""),$N575&lt;&gt;0),$A575=""),IFERROR(INDEX(Investment!$H:$H,MATCH($E575,Investment!$F:$F,0))),IFERROR(INDEX($R576:$R1119,MATCH(SUBSTITUTE($I575,"-","",1),$K576:$K1119,0)),INDEX($R576:$R1119,MATCH($K575,$K576:$K1119,0)))))</f>
        <v/>
      </c>
      <c r="S575" s="35" t="str">
        <f t="shared" si="2"/>
        <v/>
      </c>
      <c r="T575" s="37" t="str">
        <f t="shared" si="3"/>
        <v/>
      </c>
      <c r="U575" s="38" t="str">
        <f t="shared" si="4"/>
        <v/>
      </c>
      <c r="V575" s="31" t="str">
        <f t="shared" si="5"/>
        <v/>
      </c>
      <c r="W575" s="39" t="str">
        <f>IFERROR(__xludf.DUMMYFUNCTION(" IF(Account!$F575&lt;&gt;"""", SPLIT(Account!$F575, "" ""), """")"),"")</f>
        <v/>
      </c>
      <c r="X575" s="40"/>
      <c r="Y575" s="40"/>
      <c r="Z575" s="40"/>
      <c r="AA575" s="40"/>
      <c r="AB575" s="40"/>
      <c r="AC575" s="40"/>
      <c r="AD575" s="40"/>
      <c r="AE575" s="40"/>
      <c r="AF575" s="40"/>
      <c r="AG575" s="40"/>
      <c r="AH575" s="40"/>
      <c r="AI575" s="40"/>
      <c r="AJ575" s="40"/>
      <c r="AK575" s="40"/>
    </row>
    <row r="576">
      <c r="A576" s="300"/>
      <c r="B576" s="300"/>
      <c r="C576" s="300"/>
      <c r="D576" s="300"/>
      <c r="E576" s="300"/>
      <c r="F576" s="329"/>
      <c r="G576" s="300"/>
      <c r="H576" s="300"/>
      <c r="I576" s="300"/>
      <c r="J576" s="300"/>
      <c r="K576" s="300"/>
      <c r="L576" s="329"/>
      <c r="M576" s="29" t="str">
        <f t="shared" si="1"/>
        <v/>
      </c>
      <c r="N576" s="31" t="str">
        <f>IFERROR(__xludf.DUMMYFUNCTION("IF(Account!$F576&lt;&gt;"""", VALUE(REGEXREPLACE($I576, ""\,"", ""."")), """")"),"")</f>
        <v/>
      </c>
      <c r="O576" s="33" t="str">
        <f>IF(Account!$F576&lt;&gt;"", DATEVALUE(MID($A576,4,3) &amp; LEFT($A576,3) &amp; RIGHT($A576,4)) + TIMEVALUE($B576), "")</f>
        <v/>
      </c>
      <c r="P576" s="34" t="str">
        <f>IF(Account!$F576&lt;&gt;"", DATEVALUE(MID($C576,4,3) &amp; LEFT($C576,3) &amp; RIGHT($C576,4)), "")</f>
        <v/>
      </c>
      <c r="Q576" s="35" t="str">
        <f t="array" ref="Q576">IF($R576&lt;&gt;"",IFERROR(INDEX(Investment!$A:$A,MATCH($R576,Investment!$H:$H,0))),)</f>
        <v/>
      </c>
      <c r="R576" s="36" t="str">
        <f t="array" ref="R576">IF(AND($Y576="change",$H576="EUR"),IF(AND($AA576="Crédit",$O576=$O577),$R577,IF(AND($AA576="Débit",$O576=$O575),$R575)),IF(OR(AND(OR($E576&lt;&gt;"",$M576=""),$N576&lt;&gt;0),$A576=""),IFERROR(INDEX(Investment!$H:$H,MATCH($E576,Investment!$F:$F,0))),IFERROR(INDEX($R577:$R1119,MATCH(SUBSTITUTE($I576,"-","",1),$K577:$K1119,0)),INDEX($R577:$R1119,MATCH($K576,$K577:$K1119,0)))))</f>
        <v/>
      </c>
      <c r="S576" s="35" t="str">
        <f t="shared" si="2"/>
        <v/>
      </c>
      <c r="T576" s="37" t="str">
        <f t="shared" si="3"/>
        <v/>
      </c>
      <c r="U576" s="38" t="str">
        <f t="shared" si="4"/>
        <v/>
      </c>
      <c r="V576" s="31" t="str">
        <f t="shared" si="5"/>
        <v/>
      </c>
      <c r="W576" s="39" t="str">
        <f>IFERROR(__xludf.DUMMYFUNCTION(" IF(Account!$F576&lt;&gt;"""", SPLIT(Account!$F576, "" ""), """")"),"")</f>
        <v/>
      </c>
      <c r="X576" s="40"/>
      <c r="Y576" s="40"/>
      <c r="Z576" s="40"/>
      <c r="AA576" s="40"/>
      <c r="AB576" s="40"/>
      <c r="AC576" s="40"/>
      <c r="AD576" s="40"/>
      <c r="AE576" s="40"/>
      <c r="AF576" s="40"/>
      <c r="AG576" s="40"/>
      <c r="AH576" s="40"/>
      <c r="AI576" s="40"/>
      <c r="AJ576" s="40"/>
      <c r="AK576" s="40"/>
    </row>
    <row r="577">
      <c r="A577" s="300"/>
      <c r="B577" s="300"/>
      <c r="C577" s="300"/>
      <c r="D577" s="300"/>
      <c r="E577" s="300"/>
      <c r="F577" s="329"/>
      <c r="G577" s="300"/>
      <c r="H577" s="300"/>
      <c r="I577" s="300"/>
      <c r="J577" s="300"/>
      <c r="K577" s="300"/>
      <c r="L577" s="329"/>
      <c r="M577" s="29" t="str">
        <f t="shared" si="1"/>
        <v/>
      </c>
      <c r="N577" s="31" t="str">
        <f>IFERROR(__xludf.DUMMYFUNCTION("IF(Account!$F577&lt;&gt;"""", VALUE(REGEXREPLACE($I577, ""\,"", ""."")), """")"),"")</f>
        <v/>
      </c>
      <c r="O577" s="33" t="str">
        <f>IF(Account!$F577&lt;&gt;"", DATEVALUE(MID($A577,4,3) &amp; LEFT($A577,3) &amp; RIGHT($A577,4)) + TIMEVALUE($B577), "")</f>
        <v/>
      </c>
      <c r="P577" s="34" t="str">
        <f>IF(Account!$F577&lt;&gt;"", DATEVALUE(MID($C577,4,3) &amp; LEFT($C577,3) &amp; RIGHT($C577,4)), "")</f>
        <v/>
      </c>
      <c r="Q577" s="35" t="str">
        <f t="array" ref="Q577">IF($R577&lt;&gt;"",IFERROR(INDEX(Investment!$A:$A,MATCH($R577,Investment!$H:$H,0))),)</f>
        <v/>
      </c>
      <c r="R577" s="36" t="str">
        <f t="array" ref="R577">IF(AND($Y577="change",$H577="EUR"),IF(AND($AA577="Crédit",$O577=$O578),$R578,IF(AND($AA577="Débit",$O577=$O576),$R576)),IF(OR(AND(OR($E577&lt;&gt;"",$M577=""),$N577&lt;&gt;0),$A577=""),IFERROR(INDEX(Investment!$H:$H,MATCH($E577,Investment!$F:$F,0))),IFERROR(INDEX($R578:$R1119,MATCH(SUBSTITUTE($I577,"-","",1),$K578:$K1119,0)),INDEX($R578:$R1119,MATCH($K577,$K578:$K1119,0)))))</f>
        <v/>
      </c>
      <c r="S577" s="35" t="str">
        <f t="shared" si="2"/>
        <v/>
      </c>
      <c r="T577" s="37" t="str">
        <f t="shared" si="3"/>
        <v/>
      </c>
      <c r="U577" s="38" t="str">
        <f t="shared" si="4"/>
        <v/>
      </c>
      <c r="V577" s="31" t="str">
        <f t="shared" si="5"/>
        <v/>
      </c>
      <c r="W577" s="39" t="str">
        <f>IFERROR(__xludf.DUMMYFUNCTION(" IF(Account!$F577&lt;&gt;"""", SPLIT(Account!$F577, "" ""), """")"),"")</f>
        <v/>
      </c>
      <c r="X577" s="40"/>
      <c r="Y577" s="40"/>
      <c r="Z577" s="40"/>
      <c r="AA577" s="40"/>
      <c r="AB577" s="40"/>
      <c r="AC577" s="40"/>
      <c r="AD577" s="40"/>
      <c r="AE577" s="40"/>
      <c r="AF577" s="40"/>
      <c r="AG577" s="40"/>
      <c r="AH577" s="40"/>
      <c r="AI577" s="40"/>
      <c r="AJ577" s="40"/>
      <c r="AK577" s="40"/>
    </row>
    <row r="578">
      <c r="A578" s="300"/>
      <c r="B578" s="300"/>
      <c r="C578" s="300"/>
      <c r="D578" s="300"/>
      <c r="E578" s="300"/>
      <c r="F578" s="329"/>
      <c r="G578" s="300"/>
      <c r="H578" s="300"/>
      <c r="I578" s="300"/>
      <c r="J578" s="300"/>
      <c r="K578" s="300"/>
      <c r="L578" s="329"/>
      <c r="M578" s="29" t="str">
        <f t="shared" si="1"/>
        <v/>
      </c>
      <c r="N578" s="31" t="str">
        <f>IFERROR(__xludf.DUMMYFUNCTION("IF(Account!$F578&lt;&gt;"""", VALUE(REGEXREPLACE($I578, ""\,"", ""."")), """")"),"")</f>
        <v/>
      </c>
      <c r="O578" s="33" t="str">
        <f>IF(Account!$F578&lt;&gt;"", DATEVALUE(MID($A578,4,3) &amp; LEFT($A578,3) &amp; RIGHT($A578,4)) + TIMEVALUE($B578), "")</f>
        <v/>
      </c>
      <c r="P578" s="34" t="str">
        <f>IF(Account!$F578&lt;&gt;"", DATEVALUE(MID($C578,4,3) &amp; LEFT($C578,3) &amp; RIGHT($C578,4)), "")</f>
        <v/>
      </c>
      <c r="Q578" s="35" t="str">
        <f t="array" ref="Q578">IF($R578&lt;&gt;"",IFERROR(INDEX(Investment!$A:$A,MATCH($R578,Investment!$H:$H,0))),)</f>
        <v/>
      </c>
      <c r="R578" s="36" t="str">
        <f t="array" ref="R578">IF(AND($Y578="change",$H578="EUR"),IF(AND($AA578="Crédit",$O578=$O579),$R579,IF(AND($AA578="Débit",$O578=$O577),$R577)),IF(OR(AND(OR($E578&lt;&gt;"",$M578=""),$N578&lt;&gt;0),$A578=""),IFERROR(INDEX(Investment!$H:$H,MATCH($E578,Investment!$F:$F,0))),IFERROR(INDEX($R579:$R1119,MATCH(SUBSTITUTE($I578,"-","",1),$K579:$K1119,0)),INDEX($R579:$R1119,MATCH($K578,$K579:$K1119,0)))))</f>
        <v/>
      </c>
      <c r="S578" s="35" t="str">
        <f t="shared" si="2"/>
        <v/>
      </c>
      <c r="T578" s="37" t="str">
        <f t="shared" si="3"/>
        <v/>
      </c>
      <c r="U578" s="38" t="str">
        <f t="shared" si="4"/>
        <v/>
      </c>
      <c r="V578" s="31" t="str">
        <f t="shared" si="5"/>
        <v/>
      </c>
      <c r="W578" s="39" t="str">
        <f>IFERROR(__xludf.DUMMYFUNCTION(" IF(Account!$F578&lt;&gt;"""", SPLIT(Account!$F578, "" ""), """")"),"")</f>
        <v/>
      </c>
      <c r="X578" s="40"/>
      <c r="Y578" s="40"/>
      <c r="Z578" s="40"/>
      <c r="AA578" s="40"/>
      <c r="AB578" s="40"/>
      <c r="AC578" s="40"/>
      <c r="AD578" s="40"/>
      <c r="AE578" s="40"/>
      <c r="AF578" s="40"/>
      <c r="AG578" s="40"/>
      <c r="AH578" s="40"/>
      <c r="AI578" s="40"/>
      <c r="AJ578" s="40"/>
      <c r="AK578" s="40"/>
    </row>
    <row r="579">
      <c r="A579" s="300"/>
      <c r="B579" s="300"/>
      <c r="C579" s="300"/>
      <c r="D579" s="300"/>
      <c r="E579" s="300"/>
      <c r="F579" s="329"/>
      <c r="G579" s="300"/>
      <c r="H579" s="300"/>
      <c r="I579" s="300"/>
      <c r="J579" s="300"/>
      <c r="K579" s="300"/>
      <c r="L579" s="329"/>
      <c r="M579" s="29" t="str">
        <f t="shared" si="1"/>
        <v/>
      </c>
      <c r="N579" s="31" t="str">
        <f>IFERROR(__xludf.DUMMYFUNCTION("IF(Account!$F579&lt;&gt;"""", VALUE(REGEXREPLACE($I579, ""\,"", ""."")), """")"),"")</f>
        <v/>
      </c>
      <c r="O579" s="33" t="str">
        <f>IF(Account!$F579&lt;&gt;"", DATEVALUE(MID($A579,4,3) &amp; LEFT($A579,3) &amp; RIGHT($A579,4)) + TIMEVALUE($B579), "")</f>
        <v/>
      </c>
      <c r="P579" s="34" t="str">
        <f>IF(Account!$F579&lt;&gt;"", DATEVALUE(MID($C579,4,3) &amp; LEFT($C579,3) &amp; RIGHT($C579,4)), "")</f>
        <v/>
      </c>
      <c r="Q579" s="35" t="str">
        <f t="array" ref="Q579">IF($R579&lt;&gt;"",IFERROR(INDEX(Investment!$A:$A,MATCH($R579,Investment!$H:$H,0))),)</f>
        <v/>
      </c>
      <c r="R579" s="36" t="str">
        <f t="array" ref="R579">IF(AND($Y579="change",$H579="EUR"),IF(AND($AA579="Crédit",$O579=$O580),$R580,IF(AND($AA579="Débit",$O579=$O578),$R578)),IF(OR(AND(OR($E579&lt;&gt;"",$M579=""),$N579&lt;&gt;0),$A579=""),IFERROR(INDEX(Investment!$H:$H,MATCH($E579,Investment!$F:$F,0))),IFERROR(INDEX($R580:$R1119,MATCH(SUBSTITUTE($I579,"-","",1),$K580:$K1119,0)),INDEX($R580:$R1119,MATCH($K579,$K580:$K1119,0)))))</f>
        <v/>
      </c>
      <c r="S579" s="35" t="str">
        <f t="shared" si="2"/>
        <v/>
      </c>
      <c r="T579" s="37" t="str">
        <f t="shared" si="3"/>
        <v/>
      </c>
      <c r="U579" s="38" t="str">
        <f t="shared" si="4"/>
        <v/>
      </c>
      <c r="V579" s="31" t="str">
        <f t="shared" si="5"/>
        <v/>
      </c>
      <c r="W579" s="39" t="str">
        <f>IFERROR(__xludf.DUMMYFUNCTION(" IF(Account!$F579&lt;&gt;"""", SPLIT(Account!$F579, "" ""), """")"),"")</f>
        <v/>
      </c>
      <c r="X579" s="40"/>
      <c r="Y579" s="40"/>
      <c r="Z579" s="40"/>
      <c r="AA579" s="40"/>
      <c r="AB579" s="40"/>
      <c r="AC579" s="40"/>
      <c r="AD579" s="40"/>
      <c r="AE579" s="40"/>
      <c r="AF579" s="40"/>
      <c r="AG579" s="40"/>
      <c r="AH579" s="40"/>
      <c r="AI579" s="40"/>
      <c r="AJ579" s="40"/>
      <c r="AK579" s="40"/>
    </row>
    <row r="580">
      <c r="A580" s="300"/>
      <c r="B580" s="300"/>
      <c r="C580" s="300"/>
      <c r="D580" s="300"/>
      <c r="E580" s="300"/>
      <c r="F580" s="329"/>
      <c r="G580" s="300"/>
      <c r="H580" s="300"/>
      <c r="I580" s="300"/>
      <c r="J580" s="300"/>
      <c r="K580" s="300"/>
      <c r="L580" s="329"/>
      <c r="M580" s="29" t="str">
        <f t="shared" si="1"/>
        <v/>
      </c>
      <c r="N580" s="31" t="str">
        <f>IFERROR(__xludf.DUMMYFUNCTION("IF(Account!$F580&lt;&gt;"""", VALUE(REGEXREPLACE($I580, ""\,"", ""."")), """")"),"")</f>
        <v/>
      </c>
      <c r="O580" s="33" t="str">
        <f>IF(Account!$F580&lt;&gt;"", DATEVALUE(MID($A580,4,3) &amp; LEFT($A580,3) &amp; RIGHT($A580,4)) + TIMEVALUE($B580), "")</f>
        <v/>
      </c>
      <c r="P580" s="34" t="str">
        <f>IF(Account!$F580&lt;&gt;"", DATEVALUE(MID($C580,4,3) &amp; LEFT($C580,3) &amp; RIGHT($C580,4)), "")</f>
        <v/>
      </c>
      <c r="Q580" s="35" t="str">
        <f t="array" ref="Q580">IF($R580&lt;&gt;"",IFERROR(INDEX(Investment!$A:$A,MATCH($R580,Investment!$H:$H,0))),)</f>
        <v/>
      </c>
      <c r="R580" s="36" t="str">
        <f t="array" ref="R580">IF(AND($Y580="change",$H580="EUR"),IF(AND($AA580="Crédit",$O580=$O581),$R581,IF(AND($AA580="Débit",$O580=$O579),$R579)),IF(OR(AND(OR($E580&lt;&gt;"",$M580=""),$N580&lt;&gt;0),$A580=""),IFERROR(INDEX(Investment!$H:$H,MATCH($E580,Investment!$F:$F,0))),IFERROR(INDEX($R581:$R1119,MATCH(SUBSTITUTE($I580,"-","",1),$K581:$K1119,0)),INDEX($R581:$R1119,MATCH($K580,$K581:$K1119,0)))))</f>
        <v/>
      </c>
      <c r="S580" s="35" t="str">
        <f t="shared" si="2"/>
        <v/>
      </c>
      <c r="T580" s="37" t="str">
        <f t="shared" si="3"/>
        <v/>
      </c>
      <c r="U580" s="38" t="str">
        <f t="shared" si="4"/>
        <v/>
      </c>
      <c r="V580" s="31" t="str">
        <f t="shared" si="5"/>
        <v/>
      </c>
      <c r="W580" s="39" t="str">
        <f>IFERROR(__xludf.DUMMYFUNCTION(" IF(Account!$F580&lt;&gt;"""", SPLIT(Account!$F580, "" ""), """")"),"")</f>
        <v/>
      </c>
      <c r="X580" s="40"/>
      <c r="Y580" s="40"/>
      <c r="Z580" s="40"/>
      <c r="AA580" s="40"/>
      <c r="AB580" s="40"/>
      <c r="AC580" s="40"/>
      <c r="AD580" s="40"/>
      <c r="AE580" s="40"/>
      <c r="AF580" s="40"/>
      <c r="AG580" s="40"/>
      <c r="AH580" s="40"/>
      <c r="AI580" s="40"/>
      <c r="AJ580" s="40"/>
      <c r="AK580" s="40"/>
    </row>
    <row r="581">
      <c r="A581" s="300"/>
      <c r="B581" s="300"/>
      <c r="C581" s="300"/>
      <c r="D581" s="300"/>
      <c r="E581" s="300"/>
      <c r="F581" s="329"/>
      <c r="G581" s="300"/>
      <c r="H581" s="300"/>
      <c r="I581" s="300"/>
      <c r="J581" s="300"/>
      <c r="K581" s="300"/>
      <c r="L581" s="329"/>
      <c r="M581" s="29" t="str">
        <f t="shared" si="1"/>
        <v/>
      </c>
      <c r="N581" s="31" t="str">
        <f>IFERROR(__xludf.DUMMYFUNCTION("IF(Account!$F581&lt;&gt;"""", VALUE(REGEXREPLACE($I581, ""\,"", ""."")), """")"),"")</f>
        <v/>
      </c>
      <c r="O581" s="33" t="str">
        <f>IF(Account!$F581&lt;&gt;"", DATEVALUE(MID($A581,4,3) &amp; LEFT($A581,3) &amp; RIGHT($A581,4)) + TIMEVALUE($B581), "")</f>
        <v/>
      </c>
      <c r="P581" s="34" t="str">
        <f>IF(Account!$F581&lt;&gt;"", DATEVALUE(MID($C581,4,3) &amp; LEFT($C581,3) &amp; RIGHT($C581,4)), "")</f>
        <v/>
      </c>
      <c r="Q581" s="35" t="str">
        <f t="array" ref="Q581">IF($R581&lt;&gt;"",IFERROR(INDEX(Investment!$A:$A,MATCH($R581,Investment!$H:$H,0))),)</f>
        <v/>
      </c>
      <c r="R581" s="36" t="str">
        <f t="array" ref="R581">IF(AND($Y581="change",$H581="EUR"),IF(AND($AA581="Crédit",$O581=$O582),$R582,IF(AND($AA581="Débit",$O581=$O580),$R580)),IF(OR(AND(OR($E581&lt;&gt;"",$M581=""),$N581&lt;&gt;0),$A581=""),IFERROR(INDEX(Investment!$H:$H,MATCH($E581,Investment!$F:$F,0))),IFERROR(INDEX($R582:$R1119,MATCH(SUBSTITUTE($I581,"-","",1),$K582:$K1119,0)),INDEX($R582:$R1119,MATCH($K581,$K582:$K1119,0)))))</f>
        <v/>
      </c>
      <c r="S581" s="35" t="str">
        <f t="shared" si="2"/>
        <v/>
      </c>
      <c r="T581" s="37" t="str">
        <f t="shared" si="3"/>
        <v/>
      </c>
      <c r="U581" s="38" t="str">
        <f t="shared" si="4"/>
        <v/>
      </c>
      <c r="V581" s="31" t="str">
        <f t="shared" si="5"/>
        <v/>
      </c>
      <c r="W581" s="39" t="str">
        <f>IFERROR(__xludf.DUMMYFUNCTION(" IF(Account!$F581&lt;&gt;"""", SPLIT(Account!$F581, "" ""), """")"),"")</f>
        <v/>
      </c>
      <c r="X581" s="40"/>
      <c r="Y581" s="40"/>
      <c r="Z581" s="40"/>
      <c r="AA581" s="40"/>
      <c r="AB581" s="40"/>
      <c r="AC581" s="40"/>
      <c r="AD581" s="40"/>
      <c r="AE581" s="40"/>
      <c r="AF581" s="40"/>
      <c r="AG581" s="40"/>
      <c r="AH581" s="40"/>
      <c r="AI581" s="40"/>
      <c r="AJ581" s="40"/>
      <c r="AK581" s="40"/>
    </row>
    <row r="582">
      <c r="A582" s="300"/>
      <c r="B582" s="300"/>
      <c r="C582" s="300"/>
      <c r="D582" s="300"/>
      <c r="E582" s="300"/>
      <c r="F582" s="329"/>
      <c r="G582" s="300"/>
      <c r="H582" s="300"/>
      <c r="I582" s="300"/>
      <c r="J582" s="300"/>
      <c r="K582" s="300"/>
      <c r="L582" s="329"/>
      <c r="M582" s="29" t="str">
        <f t="shared" si="1"/>
        <v/>
      </c>
      <c r="N582" s="31" t="str">
        <f>IFERROR(__xludf.DUMMYFUNCTION("IF(Account!$F582&lt;&gt;"""", VALUE(REGEXREPLACE($I582, ""\,"", ""."")), """")"),"")</f>
        <v/>
      </c>
      <c r="O582" s="33" t="str">
        <f>IF(Account!$F582&lt;&gt;"", DATEVALUE(MID($A582,4,3) &amp; LEFT($A582,3) &amp; RIGHT($A582,4)) + TIMEVALUE($B582), "")</f>
        <v/>
      </c>
      <c r="P582" s="34" t="str">
        <f>IF(Account!$F582&lt;&gt;"", DATEVALUE(MID($C582,4,3) &amp; LEFT($C582,3) &amp; RIGHT($C582,4)), "")</f>
        <v/>
      </c>
      <c r="Q582" s="35" t="str">
        <f t="array" ref="Q582">IF($R582&lt;&gt;"",IFERROR(INDEX(Investment!$A:$A,MATCH($R582,Investment!$H:$H,0))),)</f>
        <v/>
      </c>
      <c r="R582" s="36" t="str">
        <f t="array" ref="R582">IF(AND($Y582="change",$H582="EUR"),IF(AND($AA582="Crédit",$O582=$O583),$R583,IF(AND($AA582="Débit",$O582=$O581),$R581)),IF(OR(AND(OR($E582&lt;&gt;"",$M582=""),$N582&lt;&gt;0),$A582=""),IFERROR(INDEX(Investment!$H:$H,MATCH($E582,Investment!$F:$F,0))),IFERROR(INDEX($R583:$R1119,MATCH(SUBSTITUTE($I582,"-","",1),$K583:$K1119,0)),INDEX($R583:$R1119,MATCH($K582,$K583:$K1119,0)))))</f>
        <v/>
      </c>
      <c r="S582" s="35" t="str">
        <f t="shared" si="2"/>
        <v/>
      </c>
      <c r="T582" s="37" t="str">
        <f t="shared" si="3"/>
        <v/>
      </c>
      <c r="U582" s="38" t="str">
        <f t="shared" si="4"/>
        <v/>
      </c>
      <c r="V582" s="31" t="str">
        <f t="shared" si="5"/>
        <v/>
      </c>
      <c r="W582" s="39" t="str">
        <f>IFERROR(__xludf.DUMMYFUNCTION(" IF(Account!$F582&lt;&gt;"""", SPLIT(Account!$F582, "" ""), """")"),"")</f>
        <v/>
      </c>
      <c r="X582" s="40"/>
      <c r="Y582" s="40"/>
      <c r="Z582" s="40"/>
      <c r="AA582" s="40"/>
      <c r="AB582" s="40"/>
      <c r="AC582" s="40"/>
      <c r="AD582" s="40"/>
      <c r="AE582" s="40"/>
      <c r="AF582" s="40"/>
      <c r="AG582" s="40"/>
      <c r="AH582" s="40"/>
      <c r="AI582" s="40"/>
      <c r="AJ582" s="40"/>
      <c r="AK582" s="40"/>
    </row>
    <row r="583">
      <c r="A583" s="300"/>
      <c r="B583" s="300"/>
      <c r="C583" s="300"/>
      <c r="D583" s="300"/>
      <c r="E583" s="300"/>
      <c r="F583" s="329"/>
      <c r="G583" s="300"/>
      <c r="H583" s="300"/>
      <c r="I583" s="300"/>
      <c r="J583" s="300"/>
      <c r="K583" s="300"/>
      <c r="L583" s="329"/>
      <c r="M583" s="29" t="str">
        <f t="shared" si="1"/>
        <v/>
      </c>
      <c r="N583" s="31" t="str">
        <f>IFERROR(__xludf.DUMMYFUNCTION("IF(Account!$F583&lt;&gt;"""", VALUE(REGEXREPLACE($I583, ""\,"", ""."")), """")"),"")</f>
        <v/>
      </c>
      <c r="O583" s="33" t="str">
        <f>IF(Account!$F583&lt;&gt;"", DATEVALUE(MID($A583,4,3) &amp; LEFT($A583,3) &amp; RIGHT($A583,4)) + TIMEVALUE($B583), "")</f>
        <v/>
      </c>
      <c r="P583" s="34" t="str">
        <f>IF(Account!$F583&lt;&gt;"", DATEVALUE(MID($C583,4,3) &amp; LEFT($C583,3) &amp; RIGHT($C583,4)), "")</f>
        <v/>
      </c>
      <c r="Q583" s="35" t="str">
        <f t="array" ref="Q583">IF($R583&lt;&gt;"",IFERROR(INDEX(Investment!$A:$A,MATCH($R583,Investment!$H:$H,0))),)</f>
        <v/>
      </c>
      <c r="R583" s="36" t="str">
        <f t="array" ref="R583">IF(AND($Y583="change",$H583="EUR"),IF(AND($AA583="Crédit",$O583=$O584),$R584,IF(AND($AA583="Débit",$O583=$O582),$R582)),IF(OR(AND(OR($E583&lt;&gt;"",$M583=""),$N583&lt;&gt;0),$A583=""),IFERROR(INDEX(Investment!$H:$H,MATCH($E583,Investment!$F:$F,0))),IFERROR(INDEX($R584:$R1119,MATCH(SUBSTITUTE($I583,"-","",1),$K584:$K1119,0)),INDEX($R584:$R1119,MATCH($K583,$K584:$K1119,0)))))</f>
        <v/>
      </c>
      <c r="S583" s="35" t="str">
        <f t="shared" si="2"/>
        <v/>
      </c>
      <c r="T583" s="37" t="str">
        <f t="shared" si="3"/>
        <v/>
      </c>
      <c r="U583" s="38" t="str">
        <f t="shared" si="4"/>
        <v/>
      </c>
      <c r="V583" s="31" t="str">
        <f t="shared" si="5"/>
        <v/>
      </c>
      <c r="W583" s="39" t="str">
        <f>IFERROR(__xludf.DUMMYFUNCTION(" IF(Account!$F583&lt;&gt;"""", SPLIT(Account!$F583, "" ""), """")"),"")</f>
        <v/>
      </c>
      <c r="X583" s="40"/>
      <c r="Y583" s="40"/>
      <c r="Z583" s="40"/>
      <c r="AA583" s="40"/>
      <c r="AB583" s="40"/>
      <c r="AC583" s="40"/>
      <c r="AD583" s="40"/>
      <c r="AE583" s="40"/>
      <c r="AF583" s="40"/>
      <c r="AG583" s="40"/>
      <c r="AH583" s="40"/>
      <c r="AI583" s="40"/>
      <c r="AJ583" s="40"/>
      <c r="AK583" s="40"/>
    </row>
    <row r="584">
      <c r="A584" s="300"/>
      <c r="B584" s="300"/>
      <c r="C584" s="300"/>
      <c r="D584" s="300"/>
      <c r="E584" s="300"/>
      <c r="F584" s="329"/>
      <c r="G584" s="300"/>
      <c r="H584" s="300"/>
      <c r="I584" s="300"/>
      <c r="J584" s="300"/>
      <c r="K584" s="300"/>
      <c r="L584" s="329"/>
      <c r="M584" s="29" t="str">
        <f t="shared" si="1"/>
        <v/>
      </c>
      <c r="N584" s="31" t="str">
        <f>IFERROR(__xludf.DUMMYFUNCTION("IF(Account!$F584&lt;&gt;"""", VALUE(REGEXREPLACE($I584, ""\,"", ""."")), """")"),"")</f>
        <v/>
      </c>
      <c r="O584" s="33" t="str">
        <f>IF(Account!$F584&lt;&gt;"", DATEVALUE(MID($A584,4,3) &amp; LEFT($A584,3) &amp; RIGHT($A584,4)) + TIMEVALUE($B584), "")</f>
        <v/>
      </c>
      <c r="P584" s="34" t="str">
        <f>IF(Account!$F584&lt;&gt;"", DATEVALUE(MID($C584,4,3) &amp; LEFT($C584,3) &amp; RIGHT($C584,4)), "")</f>
        <v/>
      </c>
      <c r="Q584" s="35" t="str">
        <f t="array" ref="Q584">IF($R584&lt;&gt;"",IFERROR(INDEX(Investment!$A:$A,MATCH($R584,Investment!$H:$H,0))),)</f>
        <v/>
      </c>
      <c r="R584" s="36" t="str">
        <f t="array" ref="R584">IF(AND($Y584="change",$H584="EUR"),IF(AND($AA584="Crédit",$O584=$O585),$R585,IF(AND($AA584="Débit",$O584=$O583),$R583)),IF(OR(AND(OR($E584&lt;&gt;"",$M584=""),$N584&lt;&gt;0),$A584=""),IFERROR(INDEX(Investment!$H:$H,MATCH($E584,Investment!$F:$F,0))),IFERROR(INDEX($R585:$R1119,MATCH(SUBSTITUTE($I584,"-","",1),$K585:$K1119,0)),INDEX($R585:$R1119,MATCH($K584,$K585:$K1119,0)))))</f>
        <v/>
      </c>
      <c r="S584" s="35" t="str">
        <f t="shared" si="2"/>
        <v/>
      </c>
      <c r="T584" s="37" t="str">
        <f t="shared" si="3"/>
        <v/>
      </c>
      <c r="U584" s="38" t="str">
        <f t="shared" si="4"/>
        <v/>
      </c>
      <c r="V584" s="31" t="str">
        <f t="shared" si="5"/>
        <v/>
      </c>
      <c r="W584" s="39" t="str">
        <f>IFERROR(__xludf.DUMMYFUNCTION(" IF(Account!$F584&lt;&gt;"""", SPLIT(Account!$F584, "" ""), """")"),"")</f>
        <v/>
      </c>
      <c r="X584" s="40"/>
      <c r="Y584" s="40"/>
      <c r="Z584" s="40"/>
      <c r="AA584" s="40"/>
      <c r="AB584" s="40"/>
      <c r="AC584" s="40"/>
      <c r="AD584" s="40"/>
      <c r="AE584" s="40"/>
      <c r="AF584" s="40"/>
      <c r="AG584" s="40"/>
      <c r="AH584" s="40"/>
      <c r="AI584" s="40"/>
      <c r="AJ584" s="40"/>
      <c r="AK584" s="40"/>
    </row>
    <row r="585">
      <c r="A585" s="300"/>
      <c r="B585" s="300"/>
      <c r="C585" s="300"/>
      <c r="D585" s="300"/>
      <c r="E585" s="300"/>
      <c r="F585" s="329"/>
      <c r="G585" s="300"/>
      <c r="H585" s="300"/>
      <c r="I585" s="300"/>
      <c r="J585" s="300"/>
      <c r="K585" s="300"/>
      <c r="L585" s="329"/>
      <c r="M585" s="29" t="str">
        <f t="shared" si="1"/>
        <v/>
      </c>
      <c r="N585" s="31" t="str">
        <f>IFERROR(__xludf.DUMMYFUNCTION("IF(Account!$F585&lt;&gt;"""", VALUE(REGEXREPLACE($I585, ""\,"", ""."")), """")"),"")</f>
        <v/>
      </c>
      <c r="O585" s="33" t="str">
        <f>IF(Account!$F585&lt;&gt;"", DATEVALUE(MID($A585,4,3) &amp; LEFT($A585,3) &amp; RIGHT($A585,4)) + TIMEVALUE($B585), "")</f>
        <v/>
      </c>
      <c r="P585" s="34" t="str">
        <f>IF(Account!$F585&lt;&gt;"", DATEVALUE(MID($C585,4,3) &amp; LEFT($C585,3) &amp; RIGHT($C585,4)), "")</f>
        <v/>
      </c>
      <c r="Q585" s="35" t="str">
        <f t="array" ref="Q585">IF($R585&lt;&gt;"",IFERROR(INDEX(Investment!$A:$A,MATCH($R585,Investment!$H:$H,0))),)</f>
        <v/>
      </c>
      <c r="R585" s="36" t="str">
        <f t="array" ref="R585">IF(AND($Y585="change",$H585="EUR"),IF(AND($AA585="Crédit",$O585=$O586),$R586,IF(AND($AA585="Débit",$O585=$O584),$R584)),IF(OR(AND(OR($E585&lt;&gt;"",$M585=""),$N585&lt;&gt;0),$A585=""),IFERROR(INDEX(Investment!$H:$H,MATCH($E585,Investment!$F:$F,0))),IFERROR(INDEX($R586:$R1119,MATCH(SUBSTITUTE($I585,"-","",1),$K586:$K1119,0)),INDEX($R586:$R1119,MATCH($K585,$K586:$K1119,0)))))</f>
        <v/>
      </c>
      <c r="S585" s="35" t="str">
        <f t="shared" si="2"/>
        <v/>
      </c>
      <c r="T585" s="37" t="str">
        <f t="shared" si="3"/>
        <v/>
      </c>
      <c r="U585" s="38" t="str">
        <f t="shared" si="4"/>
        <v/>
      </c>
      <c r="V585" s="31" t="str">
        <f t="shared" si="5"/>
        <v/>
      </c>
      <c r="W585" s="39" t="str">
        <f>IFERROR(__xludf.DUMMYFUNCTION(" IF(Account!$F585&lt;&gt;"""", SPLIT(Account!$F585, "" ""), """")"),"")</f>
        <v/>
      </c>
      <c r="X585" s="40"/>
      <c r="Y585" s="40"/>
      <c r="Z585" s="40"/>
      <c r="AA585" s="40"/>
      <c r="AB585" s="40"/>
      <c r="AC585" s="40"/>
      <c r="AD585" s="40"/>
      <c r="AE585" s="40"/>
      <c r="AF585" s="40"/>
      <c r="AG585" s="40"/>
      <c r="AH585" s="40"/>
      <c r="AI585" s="40"/>
      <c r="AJ585" s="40"/>
      <c r="AK585" s="40"/>
    </row>
    <row r="586">
      <c r="A586" s="300"/>
      <c r="B586" s="300"/>
      <c r="C586" s="300"/>
      <c r="D586" s="300"/>
      <c r="E586" s="300"/>
      <c r="F586" s="329"/>
      <c r="G586" s="300"/>
      <c r="H586" s="300"/>
      <c r="I586" s="300"/>
      <c r="J586" s="300"/>
      <c r="K586" s="300"/>
      <c r="L586" s="329"/>
      <c r="M586" s="29" t="str">
        <f t="shared" si="1"/>
        <v/>
      </c>
      <c r="N586" s="31" t="str">
        <f>IFERROR(__xludf.DUMMYFUNCTION("IF(Account!$F586&lt;&gt;"""", VALUE(REGEXREPLACE($I586, ""\,"", ""."")), """")"),"")</f>
        <v/>
      </c>
      <c r="O586" s="33" t="str">
        <f>IF(Account!$F586&lt;&gt;"", DATEVALUE(MID($A586,4,3) &amp; LEFT($A586,3) &amp; RIGHT($A586,4)) + TIMEVALUE($B586), "")</f>
        <v/>
      </c>
      <c r="P586" s="34" t="str">
        <f>IF(Account!$F586&lt;&gt;"", DATEVALUE(MID($C586,4,3) &amp; LEFT($C586,3) &amp; RIGHT($C586,4)), "")</f>
        <v/>
      </c>
      <c r="Q586" s="35" t="str">
        <f t="array" ref="Q586">IF($R586&lt;&gt;"",IFERROR(INDEX(Investment!$A:$A,MATCH($R586,Investment!$H:$H,0))),)</f>
        <v/>
      </c>
      <c r="R586" s="36" t="str">
        <f t="array" ref="R586">IF(AND($Y586="change",$H586="EUR"),IF(AND($AA586="Crédit",$O586=$O587),$R587,IF(AND($AA586="Débit",$O586=$O585),$R585)),IF(OR(AND(OR($E586&lt;&gt;"",$M586=""),$N586&lt;&gt;0),$A586=""),IFERROR(INDEX(Investment!$H:$H,MATCH($E586,Investment!$F:$F,0))),IFERROR(INDEX($R587:$R1119,MATCH(SUBSTITUTE($I586,"-","",1),$K587:$K1119,0)),INDEX($R587:$R1119,MATCH($K586,$K587:$K1119,0)))))</f>
        <v/>
      </c>
      <c r="S586" s="35" t="str">
        <f t="shared" si="2"/>
        <v/>
      </c>
      <c r="T586" s="37" t="str">
        <f t="shared" si="3"/>
        <v/>
      </c>
      <c r="U586" s="38" t="str">
        <f t="shared" si="4"/>
        <v/>
      </c>
      <c r="V586" s="31" t="str">
        <f t="shared" si="5"/>
        <v/>
      </c>
      <c r="W586" s="39" t="str">
        <f>IFERROR(__xludf.DUMMYFUNCTION(" IF(Account!$F586&lt;&gt;"""", SPLIT(Account!$F586, "" ""), """")"),"")</f>
        <v/>
      </c>
      <c r="X586" s="40"/>
      <c r="Y586" s="40"/>
      <c r="Z586" s="40"/>
      <c r="AA586" s="40"/>
      <c r="AB586" s="40"/>
      <c r="AC586" s="40"/>
      <c r="AD586" s="40"/>
      <c r="AE586" s="40"/>
      <c r="AF586" s="40"/>
      <c r="AG586" s="40"/>
      <c r="AH586" s="40"/>
      <c r="AI586" s="40"/>
      <c r="AJ586" s="40"/>
      <c r="AK586" s="40"/>
    </row>
    <row r="587">
      <c r="A587" s="300"/>
      <c r="B587" s="300"/>
      <c r="C587" s="300"/>
      <c r="D587" s="300"/>
      <c r="E587" s="300"/>
      <c r="F587" s="329"/>
      <c r="G587" s="300"/>
      <c r="H587" s="300"/>
      <c r="I587" s="300"/>
      <c r="J587" s="300"/>
      <c r="K587" s="300"/>
      <c r="L587" s="329"/>
      <c r="M587" s="29" t="str">
        <f t="shared" si="1"/>
        <v/>
      </c>
      <c r="N587" s="31" t="str">
        <f>IFERROR(__xludf.DUMMYFUNCTION("IF(Account!$F587&lt;&gt;"""", VALUE(REGEXREPLACE($I587, ""\,"", ""."")), """")"),"")</f>
        <v/>
      </c>
      <c r="O587" s="33" t="str">
        <f>IF(Account!$F587&lt;&gt;"", DATEVALUE(MID($A587,4,3) &amp; LEFT($A587,3) &amp; RIGHT($A587,4)) + TIMEVALUE($B587), "")</f>
        <v/>
      </c>
      <c r="P587" s="34" t="str">
        <f>IF(Account!$F587&lt;&gt;"", DATEVALUE(MID($C587,4,3) &amp; LEFT($C587,3) &amp; RIGHT($C587,4)), "")</f>
        <v/>
      </c>
      <c r="Q587" s="35" t="str">
        <f t="array" ref="Q587">IF($R587&lt;&gt;"",IFERROR(INDEX(Investment!$A:$A,MATCH($R587,Investment!$H:$H,0))),)</f>
        <v/>
      </c>
      <c r="R587" s="36" t="str">
        <f t="array" ref="R587">IF(AND($Y587="change",$H587="EUR"),IF(AND($AA587="Crédit",$O587=$O588),$R588,IF(AND($AA587="Débit",$O587=$O586),$R586)),IF(OR(AND(OR($E587&lt;&gt;"",$M587=""),$N587&lt;&gt;0),$A587=""),IFERROR(INDEX(Investment!$H:$H,MATCH($E587,Investment!$F:$F,0))),IFERROR(INDEX($R588:$R1119,MATCH(SUBSTITUTE($I587,"-","",1),$K588:$K1119,0)),INDEX($R588:$R1119,MATCH($K587,$K588:$K1119,0)))))</f>
        <v/>
      </c>
      <c r="S587" s="35" t="str">
        <f t="shared" si="2"/>
        <v/>
      </c>
      <c r="T587" s="37" t="str">
        <f t="shared" si="3"/>
        <v/>
      </c>
      <c r="U587" s="38" t="str">
        <f t="shared" si="4"/>
        <v/>
      </c>
      <c r="V587" s="31" t="str">
        <f t="shared" si="5"/>
        <v/>
      </c>
      <c r="W587" s="39" t="str">
        <f>IFERROR(__xludf.DUMMYFUNCTION(" IF(Account!$F587&lt;&gt;"""", SPLIT(Account!$F587, "" ""), """")"),"")</f>
        <v/>
      </c>
      <c r="X587" s="40"/>
      <c r="Y587" s="40"/>
      <c r="Z587" s="40"/>
      <c r="AA587" s="40"/>
      <c r="AB587" s="40"/>
      <c r="AC587" s="40"/>
      <c r="AD587" s="40"/>
      <c r="AE587" s="40"/>
      <c r="AF587" s="40"/>
      <c r="AG587" s="40"/>
      <c r="AH587" s="40"/>
      <c r="AI587" s="40"/>
      <c r="AJ587" s="40"/>
      <c r="AK587" s="40"/>
    </row>
    <row r="588">
      <c r="A588" s="300"/>
      <c r="B588" s="300"/>
      <c r="C588" s="300"/>
      <c r="D588" s="300"/>
      <c r="E588" s="300"/>
      <c r="F588" s="329"/>
      <c r="G588" s="300"/>
      <c r="H588" s="300"/>
      <c r="I588" s="300"/>
      <c r="J588" s="300"/>
      <c r="K588" s="300"/>
      <c r="L588" s="329"/>
      <c r="M588" s="29" t="str">
        <f t="shared" si="1"/>
        <v/>
      </c>
      <c r="N588" s="31" t="str">
        <f>IFERROR(__xludf.DUMMYFUNCTION("IF(Account!$F588&lt;&gt;"""", VALUE(REGEXREPLACE($I588, ""\,"", ""."")), """")"),"")</f>
        <v/>
      </c>
      <c r="O588" s="33" t="str">
        <f>IF(Account!$F588&lt;&gt;"", DATEVALUE(MID($A588,4,3) &amp; LEFT($A588,3) &amp; RIGHT($A588,4)) + TIMEVALUE($B588), "")</f>
        <v/>
      </c>
      <c r="P588" s="34" t="str">
        <f>IF(Account!$F588&lt;&gt;"", DATEVALUE(MID($C588,4,3) &amp; LEFT($C588,3) &amp; RIGHT($C588,4)), "")</f>
        <v/>
      </c>
      <c r="Q588" s="35" t="str">
        <f t="array" ref="Q588">IF($R588&lt;&gt;"",IFERROR(INDEX(Investment!$A:$A,MATCH($R588,Investment!$H:$H,0))),)</f>
        <v/>
      </c>
      <c r="R588" s="36" t="str">
        <f t="array" ref="R588">IF(AND($Y588="change",$H588="EUR"),IF(AND($AA588="Crédit",$O588=$O589),$R589,IF(AND($AA588="Débit",$O588=$O587),$R587)),IF(OR(AND(OR($E588&lt;&gt;"",$M588=""),$N588&lt;&gt;0),$A588=""),IFERROR(INDEX(Investment!$H:$H,MATCH($E588,Investment!$F:$F,0))),IFERROR(INDEX($R589:$R1119,MATCH(SUBSTITUTE($I588,"-","",1),$K589:$K1119,0)),INDEX($R589:$R1119,MATCH($K588,$K589:$K1119,0)))))</f>
        <v/>
      </c>
      <c r="S588" s="35" t="str">
        <f t="shared" si="2"/>
        <v/>
      </c>
      <c r="T588" s="37" t="str">
        <f t="shared" si="3"/>
        <v/>
      </c>
      <c r="U588" s="38" t="str">
        <f t="shared" si="4"/>
        <v/>
      </c>
      <c r="V588" s="31" t="str">
        <f t="shared" si="5"/>
        <v/>
      </c>
      <c r="W588" s="39" t="str">
        <f>IFERROR(__xludf.DUMMYFUNCTION(" IF(Account!$F588&lt;&gt;"""", SPLIT(Account!$F588, "" ""), """")"),"")</f>
        <v/>
      </c>
      <c r="X588" s="40"/>
      <c r="Y588" s="40"/>
      <c r="Z588" s="40"/>
      <c r="AA588" s="40"/>
      <c r="AB588" s="40"/>
      <c r="AC588" s="40"/>
      <c r="AD588" s="40"/>
      <c r="AE588" s="40"/>
      <c r="AF588" s="40"/>
      <c r="AG588" s="40"/>
      <c r="AH588" s="40"/>
      <c r="AI588" s="40"/>
      <c r="AJ588" s="40"/>
      <c r="AK588" s="40"/>
    </row>
    <row r="589">
      <c r="A589" s="300"/>
      <c r="B589" s="300"/>
      <c r="C589" s="300"/>
      <c r="D589" s="300"/>
      <c r="E589" s="300"/>
      <c r="F589" s="329"/>
      <c r="G589" s="300"/>
      <c r="H589" s="300"/>
      <c r="I589" s="300"/>
      <c r="J589" s="300"/>
      <c r="K589" s="300"/>
      <c r="L589" s="329"/>
      <c r="M589" s="29" t="str">
        <f t="shared" si="1"/>
        <v/>
      </c>
      <c r="N589" s="31" t="str">
        <f>IFERROR(__xludf.DUMMYFUNCTION("IF(Account!$F589&lt;&gt;"""", VALUE(REGEXREPLACE($I589, ""\,"", ""."")), """")"),"")</f>
        <v/>
      </c>
      <c r="O589" s="33" t="str">
        <f>IF(Account!$F589&lt;&gt;"", DATEVALUE(MID($A589,4,3) &amp; LEFT($A589,3) &amp; RIGHT($A589,4)) + TIMEVALUE($B589), "")</f>
        <v/>
      </c>
      <c r="P589" s="34" t="str">
        <f>IF(Account!$F589&lt;&gt;"", DATEVALUE(MID($C589,4,3) &amp; LEFT($C589,3) &amp; RIGHT($C589,4)), "")</f>
        <v/>
      </c>
      <c r="Q589" s="35" t="str">
        <f t="array" ref="Q589">IF($R589&lt;&gt;"",IFERROR(INDEX(Investment!$A:$A,MATCH($R589,Investment!$H:$H,0))),)</f>
        <v/>
      </c>
      <c r="R589" s="36" t="str">
        <f t="array" ref="R589">IF(AND($Y589="change",$H589="EUR"),IF(AND($AA589="Crédit",$O589=$O590),$R590,IF(AND($AA589="Débit",$O589=$O588),$R588)),IF(OR(AND(OR($E589&lt;&gt;"",$M589=""),$N589&lt;&gt;0),$A589=""),IFERROR(INDEX(Investment!$H:$H,MATCH($E589,Investment!$F:$F,0))),IFERROR(INDEX($R590:$R1119,MATCH(SUBSTITUTE($I589,"-","",1),$K590:$K1119,0)),INDEX($R590:$R1119,MATCH($K589,$K590:$K1119,0)))))</f>
        <v/>
      </c>
      <c r="S589" s="35" t="str">
        <f t="shared" si="2"/>
        <v/>
      </c>
      <c r="T589" s="37" t="str">
        <f t="shared" si="3"/>
        <v/>
      </c>
      <c r="U589" s="38" t="str">
        <f t="shared" si="4"/>
        <v/>
      </c>
      <c r="V589" s="31" t="str">
        <f t="shared" si="5"/>
        <v/>
      </c>
      <c r="W589" s="39" t="str">
        <f>IFERROR(__xludf.DUMMYFUNCTION(" IF(Account!$F589&lt;&gt;"""", SPLIT(Account!$F589, "" ""), """")"),"")</f>
        <v/>
      </c>
      <c r="X589" s="40"/>
      <c r="Y589" s="40"/>
      <c r="Z589" s="40"/>
      <c r="AA589" s="40"/>
      <c r="AB589" s="40"/>
      <c r="AC589" s="40"/>
      <c r="AD589" s="40"/>
      <c r="AE589" s="40"/>
      <c r="AF589" s="40"/>
      <c r="AG589" s="40"/>
      <c r="AH589" s="40"/>
      <c r="AI589" s="40"/>
      <c r="AJ589" s="40"/>
      <c r="AK589" s="40"/>
    </row>
    <row r="590">
      <c r="A590" s="300"/>
      <c r="B590" s="300"/>
      <c r="C590" s="300"/>
      <c r="D590" s="300"/>
      <c r="E590" s="300"/>
      <c r="F590" s="329"/>
      <c r="G590" s="300"/>
      <c r="H590" s="300"/>
      <c r="I590" s="300"/>
      <c r="J590" s="300"/>
      <c r="K590" s="300"/>
      <c r="L590" s="329"/>
      <c r="M590" s="29" t="str">
        <f t="shared" si="1"/>
        <v/>
      </c>
      <c r="N590" s="31" t="str">
        <f>IFERROR(__xludf.DUMMYFUNCTION("IF(Account!$F590&lt;&gt;"""", VALUE(REGEXREPLACE($I590, ""\,"", ""."")), """")"),"")</f>
        <v/>
      </c>
      <c r="O590" s="33" t="str">
        <f>IF(Account!$F590&lt;&gt;"", DATEVALUE(MID($A590,4,3) &amp; LEFT($A590,3) &amp; RIGHT($A590,4)) + TIMEVALUE($B590), "")</f>
        <v/>
      </c>
      <c r="P590" s="34" t="str">
        <f>IF(Account!$F590&lt;&gt;"", DATEVALUE(MID($C590,4,3) &amp; LEFT($C590,3) &amp; RIGHT($C590,4)), "")</f>
        <v/>
      </c>
      <c r="Q590" s="35" t="str">
        <f t="array" ref="Q590">IF($R590&lt;&gt;"",IFERROR(INDEX(Investment!$A:$A,MATCH($R590,Investment!$H:$H,0))),)</f>
        <v/>
      </c>
      <c r="R590" s="36" t="str">
        <f t="array" ref="R590">IF(AND($Y590="change",$H590="EUR"),IF(AND($AA590="Crédit",$O590=$O591),$R591,IF(AND($AA590="Débit",$O590=$O589),$R589)),IF(OR(AND(OR($E590&lt;&gt;"",$M590=""),$N590&lt;&gt;0),$A590=""),IFERROR(INDEX(Investment!$H:$H,MATCH($E590,Investment!$F:$F,0))),IFERROR(INDEX($R591:$R1119,MATCH(SUBSTITUTE($I590,"-","",1),$K591:$K1119,0)),INDEX($R591:$R1119,MATCH($K590,$K591:$K1119,0)))))</f>
        <v/>
      </c>
      <c r="S590" s="35" t="str">
        <f t="shared" si="2"/>
        <v/>
      </c>
      <c r="T590" s="37" t="str">
        <f t="shared" si="3"/>
        <v/>
      </c>
      <c r="U590" s="38" t="str">
        <f t="shared" si="4"/>
        <v/>
      </c>
      <c r="V590" s="31" t="str">
        <f t="shared" si="5"/>
        <v/>
      </c>
      <c r="W590" s="39" t="str">
        <f>IFERROR(__xludf.DUMMYFUNCTION(" IF(Account!$F590&lt;&gt;"""", SPLIT(Account!$F590, "" ""), """")"),"")</f>
        <v/>
      </c>
      <c r="X590" s="40"/>
      <c r="Y590" s="40"/>
      <c r="Z590" s="40"/>
      <c r="AA590" s="40"/>
      <c r="AB590" s="40"/>
      <c r="AC590" s="40"/>
      <c r="AD590" s="40"/>
      <c r="AE590" s="40"/>
      <c r="AF590" s="40"/>
      <c r="AG590" s="40"/>
      <c r="AH590" s="40"/>
      <c r="AI590" s="40"/>
      <c r="AJ590" s="40"/>
      <c r="AK590" s="40"/>
    </row>
    <row r="591">
      <c r="A591" s="300"/>
      <c r="B591" s="300"/>
      <c r="C591" s="300"/>
      <c r="D591" s="300"/>
      <c r="E591" s="300"/>
      <c r="F591" s="329"/>
      <c r="G591" s="300"/>
      <c r="H591" s="300"/>
      <c r="I591" s="300"/>
      <c r="J591" s="300"/>
      <c r="K591" s="300"/>
      <c r="L591" s="329"/>
      <c r="M591" s="29" t="str">
        <f t="shared" si="1"/>
        <v/>
      </c>
      <c r="N591" s="31" t="str">
        <f>IFERROR(__xludf.DUMMYFUNCTION("IF(Account!$F591&lt;&gt;"""", VALUE(REGEXREPLACE($I591, ""\,"", ""."")), """")"),"")</f>
        <v/>
      </c>
      <c r="O591" s="33" t="str">
        <f>IF(Account!$F591&lt;&gt;"", DATEVALUE(MID($A591,4,3) &amp; LEFT($A591,3) &amp; RIGHT($A591,4)) + TIMEVALUE($B591), "")</f>
        <v/>
      </c>
      <c r="P591" s="34" t="str">
        <f>IF(Account!$F591&lt;&gt;"", DATEVALUE(MID($C591,4,3) &amp; LEFT($C591,3) &amp; RIGHT($C591,4)), "")</f>
        <v/>
      </c>
      <c r="Q591" s="35" t="str">
        <f t="array" ref="Q591">IF($R591&lt;&gt;"",IFERROR(INDEX(Investment!$A:$A,MATCH($R591,Investment!$H:$H,0))),)</f>
        <v/>
      </c>
      <c r="R591" s="36" t="str">
        <f t="array" ref="R591">IF(AND($Y591="change",$H591="EUR"),IF(AND($AA591="Crédit",$O591=$O592),$R592,IF(AND($AA591="Débit",$O591=$O590),$R590)),IF(OR(AND(OR($E591&lt;&gt;"",$M591=""),$N591&lt;&gt;0),$A591=""),IFERROR(INDEX(Investment!$H:$H,MATCH($E591,Investment!$F:$F,0))),IFERROR(INDEX($R592:$R1119,MATCH(SUBSTITUTE($I591,"-","",1),$K592:$K1119,0)),INDEX($R592:$R1119,MATCH($K591,$K592:$K1119,0)))))</f>
        <v/>
      </c>
      <c r="S591" s="35" t="str">
        <f t="shared" si="2"/>
        <v/>
      </c>
      <c r="T591" s="37" t="str">
        <f t="shared" si="3"/>
        <v/>
      </c>
      <c r="U591" s="38" t="str">
        <f t="shared" si="4"/>
        <v/>
      </c>
      <c r="V591" s="31" t="str">
        <f t="shared" si="5"/>
        <v/>
      </c>
      <c r="W591" s="39" t="str">
        <f>IFERROR(__xludf.DUMMYFUNCTION(" IF(Account!$F591&lt;&gt;"""", SPLIT(Account!$F591, "" ""), """")"),"")</f>
        <v/>
      </c>
      <c r="X591" s="40"/>
      <c r="Y591" s="40"/>
      <c r="Z591" s="40"/>
      <c r="AA591" s="40"/>
      <c r="AB591" s="40"/>
      <c r="AC591" s="40"/>
      <c r="AD591" s="40"/>
      <c r="AE591" s="40"/>
      <c r="AF591" s="40"/>
      <c r="AG591" s="40"/>
      <c r="AH591" s="40"/>
      <c r="AI591" s="40"/>
      <c r="AJ591" s="40"/>
      <c r="AK591" s="40"/>
    </row>
    <row r="592">
      <c r="A592" s="300"/>
      <c r="B592" s="300"/>
      <c r="C592" s="300"/>
      <c r="D592" s="300"/>
      <c r="E592" s="300"/>
      <c r="F592" s="329"/>
      <c r="G592" s="300"/>
      <c r="H592" s="300"/>
      <c r="I592" s="300"/>
      <c r="J592" s="300"/>
      <c r="K592" s="300"/>
      <c r="L592" s="329"/>
      <c r="M592" s="29" t="str">
        <f t="shared" si="1"/>
        <v/>
      </c>
      <c r="N592" s="31" t="str">
        <f>IFERROR(__xludf.DUMMYFUNCTION("IF(Account!$F592&lt;&gt;"""", VALUE(REGEXREPLACE($I592, ""\,"", ""."")), """")"),"")</f>
        <v/>
      </c>
      <c r="O592" s="33" t="str">
        <f>IF(Account!$F592&lt;&gt;"", DATEVALUE(MID($A592,4,3) &amp; LEFT($A592,3) &amp; RIGHT($A592,4)) + TIMEVALUE($B592), "")</f>
        <v/>
      </c>
      <c r="P592" s="34" t="str">
        <f>IF(Account!$F592&lt;&gt;"", DATEVALUE(MID($C592,4,3) &amp; LEFT($C592,3) &amp; RIGHT($C592,4)), "")</f>
        <v/>
      </c>
      <c r="Q592" s="35" t="str">
        <f t="array" ref="Q592">IF($R592&lt;&gt;"",IFERROR(INDEX(Investment!$A:$A,MATCH($R592,Investment!$H:$H,0))),)</f>
        <v/>
      </c>
      <c r="R592" s="36" t="str">
        <f t="array" ref="R592">IF(AND($Y592="change",$H592="EUR"),IF(AND($AA592="Crédit",$O592=$O593),$R593,IF(AND($AA592="Débit",$O592=$O591),$R591)),IF(OR(AND(OR($E592&lt;&gt;"",$M592=""),$N592&lt;&gt;0),$A592=""),IFERROR(INDEX(Investment!$H:$H,MATCH($E592,Investment!$F:$F,0))),IFERROR(INDEX($R593:$R1119,MATCH(SUBSTITUTE($I592,"-","",1),$K593:$K1119,0)),INDEX($R593:$R1119,MATCH($K592,$K593:$K1119,0)))))</f>
        <v/>
      </c>
      <c r="S592" s="35" t="str">
        <f t="shared" si="2"/>
        <v/>
      </c>
      <c r="T592" s="37" t="str">
        <f t="shared" si="3"/>
        <v/>
      </c>
      <c r="U592" s="38" t="str">
        <f t="shared" si="4"/>
        <v/>
      </c>
      <c r="V592" s="31" t="str">
        <f t="shared" si="5"/>
        <v/>
      </c>
      <c r="W592" s="39" t="str">
        <f>IFERROR(__xludf.DUMMYFUNCTION(" IF(Account!$F592&lt;&gt;"""", SPLIT(Account!$F592, "" ""), """")"),"")</f>
        <v/>
      </c>
      <c r="X592" s="40"/>
      <c r="Y592" s="40"/>
      <c r="Z592" s="40"/>
      <c r="AA592" s="40"/>
      <c r="AB592" s="40"/>
      <c r="AC592" s="40"/>
      <c r="AD592" s="40"/>
      <c r="AE592" s="40"/>
      <c r="AF592" s="40"/>
      <c r="AG592" s="40"/>
      <c r="AH592" s="40"/>
      <c r="AI592" s="40"/>
      <c r="AJ592" s="40"/>
      <c r="AK592" s="40"/>
    </row>
    <row r="593">
      <c r="A593" s="300"/>
      <c r="B593" s="300"/>
      <c r="C593" s="300"/>
      <c r="D593" s="300"/>
      <c r="E593" s="300"/>
      <c r="F593" s="329"/>
      <c r="G593" s="300"/>
      <c r="H593" s="300"/>
      <c r="I593" s="300"/>
      <c r="J593" s="300"/>
      <c r="K593" s="300"/>
      <c r="L593" s="329"/>
      <c r="M593" s="29" t="str">
        <f t="shared" si="1"/>
        <v/>
      </c>
      <c r="N593" s="31" t="str">
        <f>IFERROR(__xludf.DUMMYFUNCTION("IF(Account!$F593&lt;&gt;"""", VALUE(REGEXREPLACE($I593, ""\,"", ""."")), """")"),"")</f>
        <v/>
      </c>
      <c r="O593" s="33" t="str">
        <f>IF(Account!$F593&lt;&gt;"", DATEVALUE(MID($A593,4,3) &amp; LEFT($A593,3) &amp; RIGHT($A593,4)) + TIMEVALUE($B593), "")</f>
        <v/>
      </c>
      <c r="P593" s="34" t="str">
        <f>IF(Account!$F593&lt;&gt;"", DATEVALUE(MID($C593,4,3) &amp; LEFT($C593,3) &amp; RIGHT($C593,4)), "")</f>
        <v/>
      </c>
      <c r="Q593" s="35" t="str">
        <f t="array" ref="Q593">IF($R593&lt;&gt;"",IFERROR(INDEX(Investment!$A:$A,MATCH($R593,Investment!$H:$H,0))),)</f>
        <v/>
      </c>
      <c r="R593" s="36" t="str">
        <f t="array" ref="R593">IF(AND($Y593="change",$H593="EUR"),IF(AND($AA593="Crédit",$O593=$O594),$R594,IF(AND($AA593="Débit",$O593=$O592),$R592)),IF(OR(AND(OR($E593&lt;&gt;"",$M593=""),$N593&lt;&gt;0),$A593=""),IFERROR(INDEX(Investment!$H:$H,MATCH($E593,Investment!$F:$F,0))),IFERROR(INDEX($R594:$R1119,MATCH(SUBSTITUTE($I593,"-","",1),$K594:$K1119,0)),INDEX($R594:$R1119,MATCH($K593,$K594:$K1119,0)))))</f>
        <v/>
      </c>
      <c r="S593" s="35" t="str">
        <f t="shared" si="2"/>
        <v/>
      </c>
      <c r="T593" s="37" t="str">
        <f t="shared" si="3"/>
        <v/>
      </c>
      <c r="U593" s="38" t="str">
        <f t="shared" si="4"/>
        <v/>
      </c>
      <c r="V593" s="31" t="str">
        <f t="shared" si="5"/>
        <v/>
      </c>
      <c r="W593" s="39" t="str">
        <f>IFERROR(__xludf.DUMMYFUNCTION(" IF(Account!$F593&lt;&gt;"""", SPLIT(Account!$F593, "" ""), """")"),"")</f>
        <v/>
      </c>
      <c r="X593" s="40"/>
      <c r="Y593" s="40"/>
      <c r="Z593" s="40"/>
      <c r="AA593" s="40"/>
      <c r="AB593" s="40"/>
      <c r="AC593" s="40"/>
      <c r="AD593" s="40"/>
      <c r="AE593" s="40"/>
      <c r="AF593" s="40"/>
      <c r="AG593" s="40"/>
      <c r="AH593" s="40"/>
      <c r="AI593" s="40"/>
      <c r="AJ593" s="40"/>
      <c r="AK593" s="40"/>
    </row>
    <row r="594">
      <c r="A594" s="300"/>
      <c r="B594" s="300"/>
      <c r="C594" s="300"/>
      <c r="D594" s="300"/>
      <c r="E594" s="300"/>
      <c r="F594" s="329"/>
      <c r="G594" s="300"/>
      <c r="H594" s="300"/>
      <c r="I594" s="300"/>
      <c r="J594" s="300"/>
      <c r="K594" s="300"/>
      <c r="L594" s="329"/>
      <c r="M594" s="29" t="str">
        <f t="shared" si="1"/>
        <v/>
      </c>
      <c r="N594" s="31" t="str">
        <f>IFERROR(__xludf.DUMMYFUNCTION("IF(Account!$F594&lt;&gt;"""", VALUE(REGEXREPLACE($I594, ""\,"", ""."")), """")"),"")</f>
        <v/>
      </c>
      <c r="O594" s="33" t="str">
        <f>IF(Account!$F594&lt;&gt;"", DATEVALUE(MID($A594,4,3) &amp; LEFT($A594,3) &amp; RIGHT($A594,4)) + TIMEVALUE($B594), "")</f>
        <v/>
      </c>
      <c r="P594" s="34" t="str">
        <f>IF(Account!$F594&lt;&gt;"", DATEVALUE(MID($C594,4,3) &amp; LEFT($C594,3) &amp; RIGHT($C594,4)), "")</f>
        <v/>
      </c>
      <c r="Q594" s="35" t="str">
        <f t="array" ref="Q594">IF($R594&lt;&gt;"",IFERROR(INDEX(Investment!$A:$A,MATCH($R594,Investment!$H:$H,0))),)</f>
        <v/>
      </c>
      <c r="R594" s="36" t="str">
        <f t="array" ref="R594">IF(AND($Y594="change",$H594="EUR"),IF(AND($AA594="Crédit",$O594=$O595),$R595,IF(AND($AA594="Débit",$O594=$O593),$R593)),IF(OR(AND(OR($E594&lt;&gt;"",$M594=""),$N594&lt;&gt;0),$A594=""),IFERROR(INDEX(Investment!$H:$H,MATCH($E594,Investment!$F:$F,0))),IFERROR(INDEX($R595:$R1119,MATCH(SUBSTITUTE($I594,"-","",1),$K595:$K1119,0)),INDEX($R595:$R1119,MATCH($K594,$K595:$K1119,0)))))</f>
        <v/>
      </c>
      <c r="S594" s="35" t="str">
        <f t="shared" si="2"/>
        <v/>
      </c>
      <c r="T594" s="37" t="str">
        <f t="shared" si="3"/>
        <v/>
      </c>
      <c r="U594" s="38" t="str">
        <f t="shared" si="4"/>
        <v/>
      </c>
      <c r="V594" s="31" t="str">
        <f t="shared" si="5"/>
        <v/>
      </c>
      <c r="W594" s="39" t="str">
        <f>IFERROR(__xludf.DUMMYFUNCTION(" IF(Account!$F594&lt;&gt;"""", SPLIT(Account!$F594, "" ""), """")"),"")</f>
        <v/>
      </c>
      <c r="X594" s="40"/>
      <c r="Y594" s="40"/>
      <c r="Z594" s="40"/>
      <c r="AA594" s="40"/>
      <c r="AB594" s="40"/>
      <c r="AC594" s="40"/>
      <c r="AD594" s="40"/>
      <c r="AE594" s="40"/>
      <c r="AF594" s="40"/>
      <c r="AG594" s="40"/>
      <c r="AH594" s="40"/>
      <c r="AI594" s="40"/>
      <c r="AJ594" s="40"/>
      <c r="AK594" s="40"/>
    </row>
    <row r="595">
      <c r="A595" s="300"/>
      <c r="B595" s="300"/>
      <c r="C595" s="300"/>
      <c r="D595" s="300"/>
      <c r="E595" s="300"/>
      <c r="F595" s="329"/>
      <c r="G595" s="300"/>
      <c r="H595" s="300"/>
      <c r="I595" s="300"/>
      <c r="J595" s="300"/>
      <c r="K595" s="300"/>
      <c r="L595" s="329"/>
      <c r="M595" s="29" t="str">
        <f t="shared" si="1"/>
        <v/>
      </c>
      <c r="N595" s="31" t="str">
        <f>IFERROR(__xludf.DUMMYFUNCTION("IF(Account!$F595&lt;&gt;"""", VALUE(REGEXREPLACE($I595, ""\,"", ""."")), """")"),"")</f>
        <v/>
      </c>
      <c r="O595" s="33" t="str">
        <f>IF(Account!$F595&lt;&gt;"", DATEVALUE(MID($A595,4,3) &amp; LEFT($A595,3) &amp; RIGHT($A595,4)) + TIMEVALUE($B595), "")</f>
        <v/>
      </c>
      <c r="P595" s="34" t="str">
        <f>IF(Account!$F595&lt;&gt;"", DATEVALUE(MID($C595,4,3) &amp; LEFT($C595,3) &amp; RIGHT($C595,4)), "")</f>
        <v/>
      </c>
      <c r="Q595" s="35" t="str">
        <f t="array" ref="Q595">IF($R595&lt;&gt;"",IFERROR(INDEX(Investment!$A:$A,MATCH($R595,Investment!$H:$H,0))),)</f>
        <v/>
      </c>
      <c r="R595" s="36" t="str">
        <f t="array" ref="R595">IF(AND($Y595="change",$H595="EUR"),IF(AND($AA595="Crédit",$O595=$O596),$R596,IF(AND($AA595="Débit",$O595=$O594),$R594)),IF(OR(AND(OR($E595&lt;&gt;"",$M595=""),$N595&lt;&gt;0),$A595=""),IFERROR(INDEX(Investment!$H:$H,MATCH($E595,Investment!$F:$F,0))),IFERROR(INDEX($R596:$R1119,MATCH(SUBSTITUTE($I595,"-","",1),$K596:$K1119,0)),INDEX($R596:$R1119,MATCH($K595,$K596:$K1119,0)))))</f>
        <v/>
      </c>
      <c r="S595" s="35" t="str">
        <f t="shared" si="2"/>
        <v/>
      </c>
      <c r="T595" s="37" t="str">
        <f t="shared" si="3"/>
        <v/>
      </c>
      <c r="U595" s="38" t="str">
        <f t="shared" si="4"/>
        <v/>
      </c>
      <c r="V595" s="31" t="str">
        <f t="shared" si="5"/>
        <v/>
      </c>
      <c r="W595" s="39" t="str">
        <f>IFERROR(__xludf.DUMMYFUNCTION(" IF(Account!$F595&lt;&gt;"""", SPLIT(Account!$F595, "" ""), """")"),"")</f>
        <v/>
      </c>
      <c r="X595" s="40"/>
      <c r="Y595" s="40"/>
      <c r="Z595" s="40"/>
      <c r="AA595" s="40"/>
      <c r="AB595" s="40"/>
      <c r="AC595" s="40"/>
      <c r="AD595" s="40"/>
      <c r="AE595" s="40"/>
      <c r="AF595" s="40"/>
      <c r="AG595" s="40"/>
      <c r="AH595" s="40"/>
      <c r="AI595" s="40"/>
      <c r="AJ595" s="40"/>
      <c r="AK595" s="40"/>
    </row>
    <row r="596">
      <c r="A596" s="300"/>
      <c r="B596" s="300"/>
      <c r="C596" s="300"/>
      <c r="D596" s="300"/>
      <c r="E596" s="300"/>
      <c r="F596" s="329"/>
      <c r="G596" s="300"/>
      <c r="H596" s="300"/>
      <c r="I596" s="300"/>
      <c r="J596" s="300"/>
      <c r="K596" s="300"/>
      <c r="L596" s="329"/>
      <c r="M596" s="29" t="str">
        <f t="shared" si="1"/>
        <v/>
      </c>
      <c r="N596" s="31" t="str">
        <f>IFERROR(__xludf.DUMMYFUNCTION("IF(Account!$F596&lt;&gt;"""", VALUE(REGEXREPLACE($I596, ""\,"", ""."")), """")"),"")</f>
        <v/>
      </c>
      <c r="O596" s="33" t="str">
        <f>IF(Account!$F596&lt;&gt;"", DATEVALUE(MID($A596,4,3) &amp; LEFT($A596,3) &amp; RIGHT($A596,4)) + TIMEVALUE($B596), "")</f>
        <v/>
      </c>
      <c r="P596" s="34" t="str">
        <f>IF(Account!$F596&lt;&gt;"", DATEVALUE(MID($C596,4,3) &amp; LEFT($C596,3) &amp; RIGHT($C596,4)), "")</f>
        <v/>
      </c>
      <c r="Q596" s="35" t="str">
        <f t="array" ref="Q596">IF($R596&lt;&gt;"",IFERROR(INDEX(Investment!$A:$A,MATCH($R596,Investment!$H:$H,0))),)</f>
        <v/>
      </c>
      <c r="R596" s="36" t="str">
        <f t="array" ref="R596">IF(AND($Y596="change",$H596="EUR"),IF(AND($AA596="Crédit",$O596=$O597),$R597,IF(AND($AA596="Débit",$O596=$O595),$R595)),IF(OR(AND(OR($E596&lt;&gt;"",$M596=""),$N596&lt;&gt;0),$A596=""),IFERROR(INDEX(Investment!$H:$H,MATCH($E596,Investment!$F:$F,0))),IFERROR(INDEX($R597:$R1119,MATCH(SUBSTITUTE($I596,"-","",1),$K597:$K1119,0)),INDEX($R597:$R1119,MATCH($K596,$K597:$K1119,0)))))</f>
        <v/>
      </c>
      <c r="S596" s="35" t="str">
        <f t="shared" si="2"/>
        <v/>
      </c>
      <c r="T596" s="37" t="str">
        <f t="shared" si="3"/>
        <v/>
      </c>
      <c r="U596" s="38" t="str">
        <f t="shared" si="4"/>
        <v/>
      </c>
      <c r="V596" s="31" t="str">
        <f t="shared" si="5"/>
        <v/>
      </c>
      <c r="W596" s="39" t="str">
        <f>IFERROR(__xludf.DUMMYFUNCTION(" IF(Account!$F596&lt;&gt;"""", SPLIT(Account!$F596, "" ""), """")"),"")</f>
        <v/>
      </c>
      <c r="X596" s="40"/>
      <c r="Y596" s="40"/>
      <c r="Z596" s="40"/>
      <c r="AA596" s="40"/>
      <c r="AB596" s="40"/>
      <c r="AC596" s="40"/>
      <c r="AD596" s="40"/>
      <c r="AE596" s="40"/>
      <c r="AF596" s="40"/>
      <c r="AG596" s="40"/>
      <c r="AH596" s="40"/>
      <c r="AI596" s="40"/>
      <c r="AJ596" s="40"/>
      <c r="AK596" s="40"/>
    </row>
    <row r="597">
      <c r="A597" s="300"/>
      <c r="B597" s="300"/>
      <c r="C597" s="300"/>
      <c r="D597" s="300"/>
      <c r="E597" s="300"/>
      <c r="F597" s="329"/>
      <c r="G597" s="300"/>
      <c r="H597" s="300"/>
      <c r="I597" s="300"/>
      <c r="J597" s="300"/>
      <c r="K597" s="300"/>
      <c r="L597" s="329"/>
      <c r="M597" s="29" t="str">
        <f t="shared" si="1"/>
        <v/>
      </c>
      <c r="N597" s="31" t="str">
        <f>IFERROR(__xludf.DUMMYFUNCTION("IF(Account!$F597&lt;&gt;"""", VALUE(REGEXREPLACE($I597, ""\,"", ""."")), """")"),"")</f>
        <v/>
      </c>
      <c r="O597" s="33" t="str">
        <f>IF(Account!$F597&lt;&gt;"", DATEVALUE(MID($A597,4,3) &amp; LEFT($A597,3) &amp; RIGHT($A597,4)) + TIMEVALUE($B597), "")</f>
        <v/>
      </c>
      <c r="P597" s="34" t="str">
        <f>IF(Account!$F597&lt;&gt;"", DATEVALUE(MID($C597,4,3) &amp; LEFT($C597,3) &amp; RIGHT($C597,4)), "")</f>
        <v/>
      </c>
      <c r="Q597" s="35" t="str">
        <f t="array" ref="Q597">IF($R597&lt;&gt;"",IFERROR(INDEX(Investment!$A:$A,MATCH($R597,Investment!$H:$H,0))),)</f>
        <v/>
      </c>
      <c r="R597" s="36" t="str">
        <f t="array" ref="R597">IF(AND($Y597="change",$H597="EUR"),IF(AND($AA597="Crédit",$O597=$O598),$R598,IF(AND($AA597="Débit",$O597=$O596),$R596)),IF(OR(AND(OR($E597&lt;&gt;"",$M597=""),$N597&lt;&gt;0),$A597=""),IFERROR(INDEX(Investment!$H:$H,MATCH($E597,Investment!$F:$F,0))),IFERROR(INDEX($R598:$R1119,MATCH(SUBSTITUTE($I597,"-","",1),$K598:$K1119,0)),INDEX($R598:$R1119,MATCH($K597,$K598:$K1119,0)))))</f>
        <v/>
      </c>
      <c r="S597" s="35" t="str">
        <f t="shared" si="2"/>
        <v/>
      </c>
      <c r="T597" s="37" t="str">
        <f t="shared" si="3"/>
        <v/>
      </c>
      <c r="U597" s="38" t="str">
        <f t="shared" si="4"/>
        <v/>
      </c>
      <c r="V597" s="31" t="str">
        <f t="shared" si="5"/>
        <v/>
      </c>
      <c r="W597" s="39" t="str">
        <f>IFERROR(__xludf.DUMMYFUNCTION(" IF(Account!$F597&lt;&gt;"""", SPLIT(Account!$F597, "" ""), """")"),"")</f>
        <v/>
      </c>
      <c r="X597" s="40"/>
      <c r="Y597" s="40"/>
      <c r="Z597" s="40"/>
      <c r="AA597" s="40"/>
      <c r="AB597" s="40"/>
      <c r="AC597" s="40"/>
      <c r="AD597" s="40"/>
      <c r="AE597" s="40"/>
      <c r="AF597" s="40"/>
      <c r="AG597" s="40"/>
      <c r="AH597" s="40"/>
      <c r="AI597" s="40"/>
      <c r="AJ597" s="40"/>
      <c r="AK597" s="40"/>
    </row>
    <row r="598">
      <c r="A598" s="300"/>
      <c r="B598" s="300"/>
      <c r="C598" s="300"/>
      <c r="D598" s="300"/>
      <c r="E598" s="300"/>
      <c r="F598" s="329"/>
      <c r="G598" s="300"/>
      <c r="H598" s="300"/>
      <c r="I598" s="300"/>
      <c r="J598" s="300"/>
      <c r="K598" s="300"/>
      <c r="L598" s="329"/>
      <c r="M598" s="29" t="str">
        <f t="shared" si="1"/>
        <v/>
      </c>
      <c r="N598" s="31" t="str">
        <f>IFERROR(__xludf.DUMMYFUNCTION("IF(Account!$F598&lt;&gt;"""", VALUE(REGEXREPLACE($I598, ""\,"", ""."")), """")"),"")</f>
        <v/>
      </c>
      <c r="O598" s="33" t="str">
        <f>IF(Account!$F598&lt;&gt;"", DATEVALUE(MID($A598,4,3) &amp; LEFT($A598,3) &amp; RIGHT($A598,4)) + TIMEVALUE($B598), "")</f>
        <v/>
      </c>
      <c r="P598" s="34" t="str">
        <f>IF(Account!$F598&lt;&gt;"", DATEVALUE(MID($C598,4,3) &amp; LEFT($C598,3) &amp; RIGHT($C598,4)), "")</f>
        <v/>
      </c>
      <c r="Q598" s="35" t="str">
        <f t="array" ref="Q598">IF($R598&lt;&gt;"",IFERROR(INDEX(Investment!$A:$A,MATCH($R598,Investment!$H:$H,0))),)</f>
        <v/>
      </c>
      <c r="R598" s="36" t="str">
        <f t="array" ref="R598">IF(AND($Y598="change",$H598="EUR"),IF(AND($AA598="Crédit",$O598=$O599),$R599,IF(AND($AA598="Débit",$O598=$O597),$R597)),IF(OR(AND(OR($E598&lt;&gt;"",$M598=""),$N598&lt;&gt;0),$A598=""),IFERROR(INDEX(Investment!$H:$H,MATCH($E598,Investment!$F:$F,0))),IFERROR(INDEX($R599:$R1119,MATCH(SUBSTITUTE($I598,"-","",1),$K599:$K1119,0)),INDEX($R599:$R1119,MATCH($K598,$K599:$K1119,0)))))</f>
        <v/>
      </c>
      <c r="S598" s="35" t="str">
        <f t="shared" si="2"/>
        <v/>
      </c>
      <c r="T598" s="37" t="str">
        <f t="shared" si="3"/>
        <v/>
      </c>
      <c r="U598" s="38" t="str">
        <f t="shared" si="4"/>
        <v/>
      </c>
      <c r="V598" s="31" t="str">
        <f t="shared" si="5"/>
        <v/>
      </c>
      <c r="W598" s="39" t="str">
        <f>IFERROR(__xludf.DUMMYFUNCTION(" IF(Account!$F598&lt;&gt;"""", SPLIT(Account!$F598, "" ""), """")"),"")</f>
        <v/>
      </c>
      <c r="X598" s="40"/>
      <c r="Y598" s="40"/>
      <c r="Z598" s="40"/>
      <c r="AA598" s="40"/>
      <c r="AB598" s="40"/>
      <c r="AC598" s="40"/>
      <c r="AD598" s="40"/>
      <c r="AE598" s="40"/>
      <c r="AF598" s="40"/>
      <c r="AG598" s="40"/>
      <c r="AH598" s="40"/>
      <c r="AI598" s="40"/>
      <c r="AJ598" s="40"/>
      <c r="AK598" s="40"/>
    </row>
    <row r="599">
      <c r="A599" s="300"/>
      <c r="B599" s="300"/>
      <c r="C599" s="300"/>
      <c r="D599" s="300"/>
      <c r="E599" s="300"/>
      <c r="F599" s="329"/>
      <c r="G599" s="300"/>
      <c r="H599" s="300"/>
      <c r="I599" s="300"/>
      <c r="J599" s="300"/>
      <c r="K599" s="300"/>
      <c r="L599" s="329"/>
      <c r="M599" s="29" t="str">
        <f t="shared" si="1"/>
        <v/>
      </c>
      <c r="N599" s="31" t="str">
        <f>IFERROR(__xludf.DUMMYFUNCTION("IF(Account!$F599&lt;&gt;"""", VALUE(REGEXREPLACE($I599, ""\,"", ""."")), """")"),"")</f>
        <v/>
      </c>
      <c r="O599" s="33" t="str">
        <f>IF(Account!$F599&lt;&gt;"", DATEVALUE(MID($A599,4,3) &amp; LEFT($A599,3) &amp; RIGHT($A599,4)) + TIMEVALUE($B599), "")</f>
        <v/>
      </c>
      <c r="P599" s="34" t="str">
        <f>IF(Account!$F599&lt;&gt;"", DATEVALUE(MID($C599,4,3) &amp; LEFT($C599,3) &amp; RIGHT($C599,4)), "")</f>
        <v/>
      </c>
      <c r="Q599" s="35" t="str">
        <f t="array" ref="Q599">IF($R599&lt;&gt;"",IFERROR(INDEX(Investment!$A:$A,MATCH($R599,Investment!$H:$H,0))),)</f>
        <v/>
      </c>
      <c r="R599" s="36" t="str">
        <f t="array" ref="R599">IF(AND($Y599="change",$H599="EUR"),IF(AND($AA599="Crédit",$O599=$O600),$R600,IF(AND($AA599="Débit",$O599=$O598),$R598)),IF(OR(AND(OR($E599&lt;&gt;"",$M599=""),$N599&lt;&gt;0),$A599=""),IFERROR(INDEX(Investment!$H:$H,MATCH($E599,Investment!$F:$F,0))),IFERROR(INDEX($R600:$R1119,MATCH(SUBSTITUTE($I599,"-","",1),$K600:$K1119,0)),INDEX($R600:$R1119,MATCH($K599,$K600:$K1119,0)))))</f>
        <v/>
      </c>
      <c r="S599" s="35" t="str">
        <f t="shared" si="2"/>
        <v/>
      </c>
      <c r="T599" s="37" t="str">
        <f t="shared" si="3"/>
        <v/>
      </c>
      <c r="U599" s="38" t="str">
        <f t="shared" si="4"/>
        <v/>
      </c>
      <c r="V599" s="31" t="str">
        <f t="shared" si="5"/>
        <v/>
      </c>
      <c r="W599" s="39" t="str">
        <f>IFERROR(__xludf.DUMMYFUNCTION(" IF(Account!$F599&lt;&gt;"""", SPLIT(Account!$F599, "" ""), """")"),"")</f>
        <v/>
      </c>
      <c r="X599" s="40"/>
      <c r="Y599" s="40"/>
      <c r="Z599" s="40"/>
      <c r="AA599" s="40"/>
      <c r="AB599" s="40"/>
      <c r="AC599" s="40"/>
      <c r="AD599" s="40"/>
      <c r="AE599" s="40"/>
      <c r="AF599" s="40"/>
      <c r="AG599" s="40"/>
      <c r="AH599" s="40"/>
      <c r="AI599" s="40"/>
      <c r="AJ599" s="40"/>
      <c r="AK599" s="40"/>
    </row>
    <row r="600">
      <c r="A600" s="300"/>
      <c r="B600" s="300"/>
      <c r="C600" s="300"/>
      <c r="D600" s="300"/>
      <c r="E600" s="300"/>
      <c r="F600" s="329"/>
      <c r="G600" s="300"/>
      <c r="H600" s="300"/>
      <c r="I600" s="300"/>
      <c r="J600" s="300"/>
      <c r="K600" s="300"/>
      <c r="L600" s="329"/>
      <c r="M600" s="29" t="str">
        <f t="shared" si="1"/>
        <v/>
      </c>
      <c r="N600" s="31" t="str">
        <f>IFERROR(__xludf.DUMMYFUNCTION("IF(Account!$F600&lt;&gt;"""", VALUE(REGEXREPLACE($I600, ""\,"", ""."")), """")"),"")</f>
        <v/>
      </c>
      <c r="O600" s="33" t="str">
        <f>IF(Account!$F600&lt;&gt;"", DATEVALUE(MID($A600,4,3) &amp; LEFT($A600,3) &amp; RIGHT($A600,4)) + TIMEVALUE($B600), "")</f>
        <v/>
      </c>
      <c r="P600" s="34" t="str">
        <f>IF(Account!$F600&lt;&gt;"", DATEVALUE(MID($C600,4,3) &amp; LEFT($C600,3) &amp; RIGHT($C600,4)), "")</f>
        <v/>
      </c>
      <c r="Q600" s="35" t="str">
        <f t="array" ref="Q600">IF($R600&lt;&gt;"",IFERROR(INDEX(Investment!$A:$A,MATCH($R600,Investment!$H:$H,0))),)</f>
        <v/>
      </c>
      <c r="R600" s="36" t="str">
        <f t="array" ref="R600">IF(AND($Y600="change",$H600="EUR"),IF(AND($AA600="Crédit",$O600=$O601),$R601,IF(AND($AA600="Débit",$O600=$O599),$R599)),IF(OR(AND(OR($E600&lt;&gt;"",$M600=""),$N600&lt;&gt;0),$A600=""),IFERROR(INDEX(Investment!$H:$H,MATCH($E600,Investment!$F:$F,0))),IFERROR(INDEX($R601:$R1119,MATCH(SUBSTITUTE($I600,"-","",1),$K601:$K1119,0)),INDEX($R601:$R1119,MATCH($K600,$K601:$K1119,0)))))</f>
        <v/>
      </c>
      <c r="S600" s="35" t="str">
        <f t="shared" si="2"/>
        <v/>
      </c>
      <c r="T600" s="37" t="str">
        <f t="shared" si="3"/>
        <v/>
      </c>
      <c r="U600" s="38" t="str">
        <f t="shared" si="4"/>
        <v/>
      </c>
      <c r="V600" s="31" t="str">
        <f t="shared" si="5"/>
        <v/>
      </c>
      <c r="W600" s="39" t="str">
        <f>IFERROR(__xludf.DUMMYFUNCTION(" IF(Account!$F600&lt;&gt;"""", SPLIT(Account!$F600, "" ""), """")"),"")</f>
        <v/>
      </c>
      <c r="X600" s="40"/>
      <c r="Y600" s="40"/>
      <c r="Z600" s="40"/>
      <c r="AA600" s="40"/>
      <c r="AB600" s="40"/>
      <c r="AC600" s="40"/>
      <c r="AD600" s="40"/>
      <c r="AE600" s="40"/>
      <c r="AF600" s="40"/>
      <c r="AG600" s="40"/>
      <c r="AH600" s="40"/>
      <c r="AI600" s="40"/>
      <c r="AJ600" s="40"/>
      <c r="AK600" s="40"/>
    </row>
    <row r="601">
      <c r="A601" s="300"/>
      <c r="B601" s="300"/>
      <c r="C601" s="300"/>
      <c r="D601" s="300"/>
      <c r="E601" s="300"/>
      <c r="F601" s="329"/>
      <c r="G601" s="300"/>
      <c r="H601" s="300"/>
      <c r="I601" s="300"/>
      <c r="J601" s="300"/>
      <c r="K601" s="300"/>
      <c r="L601" s="329"/>
      <c r="M601" s="29" t="str">
        <f t="shared" si="1"/>
        <v/>
      </c>
      <c r="N601" s="31" t="str">
        <f>IFERROR(__xludf.DUMMYFUNCTION("IF(Account!$F601&lt;&gt;"""", VALUE(REGEXREPLACE($I601, ""\,"", ""."")), """")"),"")</f>
        <v/>
      </c>
      <c r="O601" s="33" t="str">
        <f>IF(Account!$F601&lt;&gt;"", DATEVALUE(MID($A601,4,3) &amp; LEFT($A601,3) &amp; RIGHT($A601,4)) + TIMEVALUE($B601), "")</f>
        <v/>
      </c>
      <c r="P601" s="34" t="str">
        <f>IF(Account!$F601&lt;&gt;"", DATEVALUE(MID($C601,4,3) &amp; LEFT($C601,3) &amp; RIGHT($C601,4)), "")</f>
        <v/>
      </c>
      <c r="Q601" s="35" t="str">
        <f t="array" ref="Q601">IF($R601&lt;&gt;"",IFERROR(INDEX(Investment!$A:$A,MATCH($R601,Investment!$H:$H,0))),)</f>
        <v/>
      </c>
      <c r="R601" s="36" t="str">
        <f t="array" ref="R601">IF(AND($Y601="change",$H601="EUR"),IF(AND($AA601="Crédit",$O601=$O602),$R602,IF(AND($AA601="Débit",$O601=$O600),$R600)),IF(OR(AND(OR($E601&lt;&gt;"",$M601=""),$N601&lt;&gt;0),$A601=""),IFERROR(INDEX(Investment!$H:$H,MATCH($E601,Investment!$F:$F,0))),IFERROR(INDEX($R602:$R1119,MATCH(SUBSTITUTE($I601,"-","",1),$K602:$K1119,0)),INDEX($R602:$R1119,MATCH($K601,$K602:$K1119,0)))))</f>
        <v/>
      </c>
      <c r="S601" s="35" t="str">
        <f t="shared" si="2"/>
        <v/>
      </c>
      <c r="T601" s="37" t="str">
        <f t="shared" si="3"/>
        <v/>
      </c>
      <c r="U601" s="38" t="str">
        <f t="shared" si="4"/>
        <v/>
      </c>
      <c r="V601" s="31" t="str">
        <f t="shared" si="5"/>
        <v/>
      </c>
      <c r="W601" s="39" t="str">
        <f>IFERROR(__xludf.DUMMYFUNCTION(" IF(Account!$F601&lt;&gt;"""", SPLIT(Account!$F601, "" ""), """")"),"")</f>
        <v/>
      </c>
      <c r="X601" s="40"/>
      <c r="Y601" s="40"/>
      <c r="Z601" s="40"/>
      <c r="AA601" s="40"/>
      <c r="AB601" s="40"/>
      <c r="AC601" s="40"/>
      <c r="AD601" s="40"/>
      <c r="AE601" s="40"/>
      <c r="AF601" s="40"/>
      <c r="AG601" s="40"/>
      <c r="AH601" s="40"/>
      <c r="AI601" s="40"/>
      <c r="AJ601" s="40"/>
      <c r="AK601" s="40"/>
    </row>
    <row r="602">
      <c r="A602" s="300"/>
      <c r="B602" s="300"/>
      <c r="C602" s="300"/>
      <c r="D602" s="300"/>
      <c r="E602" s="300"/>
      <c r="F602" s="329"/>
      <c r="G602" s="300"/>
      <c r="H602" s="300"/>
      <c r="I602" s="300"/>
      <c r="J602" s="300"/>
      <c r="K602" s="300"/>
      <c r="L602" s="329"/>
      <c r="M602" s="29" t="str">
        <f t="shared" si="1"/>
        <v/>
      </c>
      <c r="N602" s="31" t="str">
        <f>IFERROR(__xludf.DUMMYFUNCTION("IF(Account!$F602&lt;&gt;"""", VALUE(REGEXREPLACE($I602, ""\,"", ""."")), """")"),"")</f>
        <v/>
      </c>
      <c r="O602" s="33" t="str">
        <f>IF(Account!$F602&lt;&gt;"", DATEVALUE(MID($A602,4,3) &amp; LEFT($A602,3) &amp; RIGHT($A602,4)) + TIMEVALUE($B602), "")</f>
        <v/>
      </c>
      <c r="P602" s="34" t="str">
        <f>IF(Account!$F602&lt;&gt;"", DATEVALUE(MID($C602,4,3) &amp; LEFT($C602,3) &amp; RIGHT($C602,4)), "")</f>
        <v/>
      </c>
      <c r="Q602" s="35" t="str">
        <f t="array" ref="Q602">IF($R602&lt;&gt;"",IFERROR(INDEX(Investment!$A:$A,MATCH($R602,Investment!$H:$H,0))),)</f>
        <v/>
      </c>
      <c r="R602" s="36" t="str">
        <f t="array" ref="R602">IF(AND($Y602="change",$H602="EUR"),IF(AND($AA602="Crédit",$O602=$O603),$R603,IF(AND($AA602="Débit",$O602=$O601),$R601)),IF(OR(AND(OR($E602&lt;&gt;"",$M602=""),$N602&lt;&gt;0),$A602=""),IFERROR(INDEX(Investment!$H:$H,MATCH($E602,Investment!$F:$F,0))),IFERROR(INDEX($R603:$R1119,MATCH(SUBSTITUTE($I602,"-","",1),$K603:$K1119,0)),INDEX($R603:$R1119,MATCH($K602,$K603:$K1119,0)))))</f>
        <v/>
      </c>
      <c r="S602" s="35" t="str">
        <f t="shared" si="2"/>
        <v/>
      </c>
      <c r="T602" s="37" t="str">
        <f t="shared" si="3"/>
        <v/>
      </c>
      <c r="U602" s="38" t="str">
        <f t="shared" si="4"/>
        <v/>
      </c>
      <c r="V602" s="31" t="str">
        <f t="shared" si="5"/>
        <v/>
      </c>
      <c r="W602" s="39" t="str">
        <f>IFERROR(__xludf.DUMMYFUNCTION(" IF(Account!$F602&lt;&gt;"""", SPLIT(Account!$F602, "" ""), """")"),"")</f>
        <v/>
      </c>
      <c r="X602" s="40"/>
      <c r="Y602" s="40"/>
      <c r="Z602" s="40"/>
      <c r="AA602" s="40"/>
      <c r="AB602" s="40"/>
      <c r="AC602" s="40"/>
      <c r="AD602" s="40"/>
      <c r="AE602" s="40"/>
      <c r="AF602" s="40"/>
      <c r="AG602" s="40"/>
      <c r="AH602" s="40"/>
      <c r="AI602" s="40"/>
      <c r="AJ602" s="40"/>
      <c r="AK602" s="40"/>
    </row>
    <row r="603">
      <c r="A603" s="300"/>
      <c r="B603" s="300"/>
      <c r="C603" s="300"/>
      <c r="D603" s="300"/>
      <c r="E603" s="300"/>
      <c r="F603" s="329"/>
      <c r="G603" s="300"/>
      <c r="H603" s="300"/>
      <c r="I603" s="300"/>
      <c r="J603" s="300"/>
      <c r="K603" s="300"/>
      <c r="L603" s="329"/>
      <c r="M603" s="29" t="str">
        <f t="shared" si="1"/>
        <v/>
      </c>
      <c r="N603" s="31" t="str">
        <f>IFERROR(__xludf.DUMMYFUNCTION("IF(Account!$F603&lt;&gt;"""", VALUE(REGEXREPLACE($I603, ""\,"", ""."")), """")"),"")</f>
        <v/>
      </c>
      <c r="O603" s="33" t="str">
        <f>IF(Account!$F603&lt;&gt;"", DATEVALUE(MID($A603,4,3) &amp; LEFT($A603,3) &amp; RIGHT($A603,4)) + TIMEVALUE($B603), "")</f>
        <v/>
      </c>
      <c r="P603" s="34" t="str">
        <f>IF(Account!$F603&lt;&gt;"", DATEVALUE(MID($C603,4,3) &amp; LEFT($C603,3) &amp; RIGHT($C603,4)), "")</f>
        <v/>
      </c>
      <c r="Q603" s="35" t="str">
        <f t="array" ref="Q603">IF($R603&lt;&gt;"",IFERROR(INDEX(Investment!$A:$A,MATCH($R603,Investment!$H:$H,0))),)</f>
        <v/>
      </c>
      <c r="R603" s="36" t="str">
        <f t="array" ref="R603">IF(AND($Y603="change",$H603="EUR"),IF(AND($AA603="Crédit",$O603=$O604),$R604,IF(AND($AA603="Débit",$O603=$O602),$R602)),IF(OR(AND(OR($E603&lt;&gt;"",$M603=""),$N603&lt;&gt;0),$A603=""),IFERROR(INDEX(Investment!$H:$H,MATCH($E603,Investment!$F:$F,0))),IFERROR(INDEX($R604:$R1119,MATCH(SUBSTITUTE($I603,"-","",1),$K604:$K1119,0)),INDEX($R604:$R1119,MATCH($K603,$K604:$K1119,0)))))</f>
        <v/>
      </c>
      <c r="S603" s="35" t="str">
        <f t="shared" si="2"/>
        <v/>
      </c>
      <c r="T603" s="37" t="str">
        <f t="shared" si="3"/>
        <v/>
      </c>
      <c r="U603" s="38" t="str">
        <f t="shared" si="4"/>
        <v/>
      </c>
      <c r="V603" s="31" t="str">
        <f t="shared" si="5"/>
        <v/>
      </c>
      <c r="W603" s="39" t="str">
        <f>IFERROR(__xludf.DUMMYFUNCTION(" IF(Account!$F603&lt;&gt;"""", SPLIT(Account!$F603, "" ""), """")"),"")</f>
        <v/>
      </c>
      <c r="X603" s="40"/>
      <c r="Y603" s="40"/>
      <c r="Z603" s="40"/>
      <c r="AA603" s="40"/>
      <c r="AB603" s="40"/>
      <c r="AC603" s="40"/>
      <c r="AD603" s="40"/>
      <c r="AE603" s="40"/>
      <c r="AF603" s="40"/>
      <c r="AG603" s="40"/>
      <c r="AH603" s="40"/>
      <c r="AI603" s="40"/>
      <c r="AJ603" s="40"/>
      <c r="AK603" s="40"/>
    </row>
    <row r="604">
      <c r="A604" s="300"/>
      <c r="B604" s="300"/>
      <c r="C604" s="300"/>
      <c r="D604" s="300"/>
      <c r="E604" s="300"/>
      <c r="F604" s="329"/>
      <c r="G604" s="300"/>
      <c r="H604" s="300"/>
      <c r="I604" s="300"/>
      <c r="J604" s="300"/>
      <c r="K604" s="300"/>
      <c r="L604" s="329"/>
      <c r="M604" s="29" t="str">
        <f t="shared" si="1"/>
        <v/>
      </c>
      <c r="N604" s="31" t="str">
        <f>IFERROR(__xludf.DUMMYFUNCTION("IF(Account!$F604&lt;&gt;"""", VALUE(REGEXREPLACE($I604, ""\,"", ""."")), """")"),"")</f>
        <v/>
      </c>
      <c r="O604" s="33" t="str">
        <f>IF(Account!$F604&lt;&gt;"", DATEVALUE(MID($A604,4,3) &amp; LEFT($A604,3) &amp; RIGHT($A604,4)) + TIMEVALUE($B604), "")</f>
        <v/>
      </c>
      <c r="P604" s="34" t="str">
        <f>IF(Account!$F604&lt;&gt;"", DATEVALUE(MID($C604,4,3) &amp; LEFT($C604,3) &amp; RIGHT($C604,4)), "")</f>
        <v/>
      </c>
      <c r="Q604" s="35" t="str">
        <f t="array" ref="Q604">IF($R604&lt;&gt;"",IFERROR(INDEX(Investment!$A:$A,MATCH($R604,Investment!$H:$H,0))),)</f>
        <v/>
      </c>
      <c r="R604" s="36" t="str">
        <f t="array" ref="R604">IF(AND($Y604="change",$H604="EUR"),IF(AND($AA604="Crédit",$O604=$O605),$R605,IF(AND($AA604="Débit",$O604=$O603),$R603)),IF(OR(AND(OR($E604&lt;&gt;"",$M604=""),$N604&lt;&gt;0),$A604=""),IFERROR(INDEX(Investment!$H:$H,MATCH($E604,Investment!$F:$F,0))),IFERROR(INDEX($R605:$R1119,MATCH(SUBSTITUTE($I604,"-","",1),$K605:$K1119,0)),INDEX($R605:$R1119,MATCH($K604,$K605:$K1119,0)))))</f>
        <v/>
      </c>
      <c r="S604" s="35" t="str">
        <f t="shared" si="2"/>
        <v/>
      </c>
      <c r="T604" s="37" t="str">
        <f t="shared" si="3"/>
        <v/>
      </c>
      <c r="U604" s="38" t="str">
        <f t="shared" si="4"/>
        <v/>
      </c>
      <c r="V604" s="31" t="str">
        <f t="shared" si="5"/>
        <v/>
      </c>
      <c r="W604" s="39" t="str">
        <f>IFERROR(__xludf.DUMMYFUNCTION(" IF(Account!$F604&lt;&gt;"""", SPLIT(Account!$F604, "" ""), """")"),"")</f>
        <v/>
      </c>
      <c r="X604" s="40"/>
      <c r="Y604" s="40"/>
      <c r="Z604" s="40"/>
      <c r="AA604" s="40"/>
      <c r="AB604" s="40"/>
      <c r="AC604" s="40"/>
      <c r="AD604" s="40"/>
      <c r="AE604" s="40"/>
      <c r="AF604" s="40"/>
      <c r="AG604" s="40"/>
      <c r="AH604" s="40"/>
      <c r="AI604" s="40"/>
      <c r="AJ604" s="40"/>
      <c r="AK604" s="40"/>
    </row>
    <row r="605">
      <c r="A605" s="300"/>
      <c r="B605" s="300"/>
      <c r="C605" s="300"/>
      <c r="D605" s="300"/>
      <c r="E605" s="300"/>
      <c r="F605" s="329"/>
      <c r="G605" s="300"/>
      <c r="H605" s="300"/>
      <c r="I605" s="300"/>
      <c r="J605" s="300"/>
      <c r="K605" s="300"/>
      <c r="L605" s="329"/>
      <c r="M605" s="29" t="str">
        <f t="shared" si="1"/>
        <v/>
      </c>
      <c r="N605" s="31" t="str">
        <f>IFERROR(__xludf.DUMMYFUNCTION("IF(Account!$F605&lt;&gt;"""", VALUE(REGEXREPLACE($I605, ""\,"", ""."")), """")"),"")</f>
        <v/>
      </c>
      <c r="O605" s="33" t="str">
        <f>IF(Account!$F605&lt;&gt;"", DATEVALUE(MID($A605,4,3) &amp; LEFT($A605,3) &amp; RIGHT($A605,4)) + TIMEVALUE($B605), "")</f>
        <v/>
      </c>
      <c r="P605" s="34" t="str">
        <f>IF(Account!$F605&lt;&gt;"", DATEVALUE(MID($C605,4,3) &amp; LEFT($C605,3) &amp; RIGHT($C605,4)), "")</f>
        <v/>
      </c>
      <c r="Q605" s="35" t="str">
        <f t="array" ref="Q605">IF($R605&lt;&gt;"",IFERROR(INDEX(Investment!$A:$A,MATCH($R605,Investment!$H:$H,0))),)</f>
        <v/>
      </c>
      <c r="R605" s="36" t="str">
        <f t="array" ref="R605">IF(AND($Y605="change",$H605="EUR"),IF(AND($AA605="Crédit",$O605=$O606),$R606,IF(AND($AA605="Débit",$O605=$O604),$R604)),IF(OR(AND(OR($E605&lt;&gt;"",$M605=""),$N605&lt;&gt;0),$A605=""),IFERROR(INDEX(Investment!$H:$H,MATCH($E605,Investment!$F:$F,0))),IFERROR(INDEX($R606:$R1119,MATCH(SUBSTITUTE($I605,"-","",1),$K606:$K1119,0)),INDEX($R606:$R1119,MATCH($K605,$K606:$K1119,0)))))</f>
        <v/>
      </c>
      <c r="S605" s="35" t="str">
        <f t="shared" si="2"/>
        <v/>
      </c>
      <c r="T605" s="37" t="str">
        <f t="shared" si="3"/>
        <v/>
      </c>
      <c r="U605" s="38" t="str">
        <f t="shared" si="4"/>
        <v/>
      </c>
      <c r="V605" s="31" t="str">
        <f t="shared" si="5"/>
        <v/>
      </c>
      <c r="W605" s="39" t="str">
        <f>IFERROR(__xludf.DUMMYFUNCTION(" IF(Account!$F605&lt;&gt;"""", SPLIT(Account!$F605, "" ""), """")"),"")</f>
        <v/>
      </c>
      <c r="X605" s="40"/>
      <c r="Y605" s="40"/>
      <c r="Z605" s="40"/>
      <c r="AA605" s="40"/>
      <c r="AB605" s="40"/>
      <c r="AC605" s="40"/>
      <c r="AD605" s="40"/>
      <c r="AE605" s="40"/>
      <c r="AF605" s="40"/>
      <c r="AG605" s="40"/>
      <c r="AH605" s="40"/>
      <c r="AI605" s="40"/>
      <c r="AJ605" s="40"/>
      <c r="AK605" s="40"/>
    </row>
    <row r="606">
      <c r="A606" s="300"/>
      <c r="B606" s="300"/>
      <c r="C606" s="300"/>
      <c r="D606" s="300"/>
      <c r="E606" s="300"/>
      <c r="F606" s="329"/>
      <c r="G606" s="300"/>
      <c r="H606" s="300"/>
      <c r="I606" s="300"/>
      <c r="J606" s="300"/>
      <c r="K606" s="300"/>
      <c r="L606" s="329"/>
      <c r="M606" s="29" t="str">
        <f t="shared" si="1"/>
        <v/>
      </c>
      <c r="N606" s="31" t="str">
        <f>IFERROR(__xludf.DUMMYFUNCTION("IF(Account!$F606&lt;&gt;"""", VALUE(REGEXREPLACE($I606, ""\,"", ""."")), """")"),"")</f>
        <v/>
      </c>
      <c r="O606" s="33" t="str">
        <f>IF(Account!$F606&lt;&gt;"", DATEVALUE(MID($A606,4,3) &amp; LEFT($A606,3) &amp; RIGHT($A606,4)) + TIMEVALUE($B606), "")</f>
        <v/>
      </c>
      <c r="P606" s="34" t="str">
        <f>IF(Account!$F606&lt;&gt;"", DATEVALUE(MID($C606,4,3) &amp; LEFT($C606,3) &amp; RIGHT($C606,4)), "")</f>
        <v/>
      </c>
      <c r="Q606" s="35" t="str">
        <f t="array" ref="Q606">IF($R606&lt;&gt;"",IFERROR(INDEX(Investment!$A:$A,MATCH($R606,Investment!$H:$H,0))),)</f>
        <v/>
      </c>
      <c r="R606" s="36" t="str">
        <f t="array" ref="R606">IF(AND($Y606="change",$H606="EUR"),IF(AND($AA606="Crédit",$O606=$O607),$R607,IF(AND($AA606="Débit",$O606=$O605),$R605)),IF(OR(AND(OR($E606&lt;&gt;"",$M606=""),$N606&lt;&gt;0),$A606=""),IFERROR(INDEX(Investment!$H:$H,MATCH($E606,Investment!$F:$F,0))),IFERROR(INDEX($R607:$R1119,MATCH(SUBSTITUTE($I606,"-","",1),$K607:$K1119,0)),INDEX($R607:$R1119,MATCH($K606,$K607:$K1119,0)))))</f>
        <v/>
      </c>
      <c r="S606" s="35" t="str">
        <f t="shared" si="2"/>
        <v/>
      </c>
      <c r="T606" s="37" t="str">
        <f t="shared" si="3"/>
        <v/>
      </c>
      <c r="U606" s="38" t="str">
        <f t="shared" si="4"/>
        <v/>
      </c>
      <c r="V606" s="31" t="str">
        <f t="shared" si="5"/>
        <v/>
      </c>
      <c r="W606" s="39" t="str">
        <f>IFERROR(__xludf.DUMMYFUNCTION(" IF(Account!$F606&lt;&gt;"""", SPLIT(Account!$F606, "" ""), """")"),"")</f>
        <v/>
      </c>
      <c r="X606" s="40"/>
      <c r="Y606" s="40"/>
      <c r="Z606" s="40"/>
      <c r="AA606" s="40"/>
      <c r="AB606" s="40"/>
      <c r="AC606" s="40"/>
      <c r="AD606" s="40"/>
      <c r="AE606" s="40"/>
      <c r="AF606" s="40"/>
      <c r="AG606" s="40"/>
      <c r="AH606" s="40"/>
      <c r="AI606" s="40"/>
      <c r="AJ606" s="40"/>
      <c r="AK606" s="40"/>
    </row>
    <row r="607">
      <c r="A607" s="300"/>
      <c r="B607" s="300"/>
      <c r="C607" s="300"/>
      <c r="D607" s="300"/>
      <c r="E607" s="300"/>
      <c r="F607" s="329"/>
      <c r="G607" s="300"/>
      <c r="H607" s="300"/>
      <c r="I607" s="300"/>
      <c r="J607" s="300"/>
      <c r="K607" s="300"/>
      <c r="L607" s="329"/>
      <c r="M607" s="29" t="str">
        <f t="shared" si="1"/>
        <v/>
      </c>
      <c r="N607" s="31" t="str">
        <f>IFERROR(__xludf.DUMMYFUNCTION("IF(Account!$F607&lt;&gt;"""", VALUE(REGEXREPLACE($I607, ""\,"", ""."")), """")"),"")</f>
        <v/>
      </c>
      <c r="O607" s="33" t="str">
        <f>IF(Account!$F607&lt;&gt;"", DATEVALUE(MID($A607,4,3) &amp; LEFT($A607,3) &amp; RIGHT($A607,4)) + TIMEVALUE($B607), "")</f>
        <v/>
      </c>
      <c r="P607" s="34" t="str">
        <f>IF(Account!$F607&lt;&gt;"", DATEVALUE(MID($C607,4,3) &amp; LEFT($C607,3) &amp; RIGHT($C607,4)), "")</f>
        <v/>
      </c>
      <c r="Q607" s="35" t="str">
        <f t="array" ref="Q607">IF($R607&lt;&gt;"",IFERROR(INDEX(Investment!$A:$A,MATCH($R607,Investment!$H:$H,0))),)</f>
        <v/>
      </c>
      <c r="R607" s="36" t="str">
        <f t="array" ref="R607">IF(AND($Y607="change",$H607="EUR"),IF(AND($AA607="Crédit",$O607=$O608),$R608,IF(AND($AA607="Débit",$O607=$O606),$R606)),IF(OR(AND(OR($E607&lt;&gt;"",$M607=""),$N607&lt;&gt;0),$A607=""),IFERROR(INDEX(Investment!$H:$H,MATCH($E607,Investment!$F:$F,0))),IFERROR(INDEX($R608:$R1119,MATCH(SUBSTITUTE($I607,"-","",1),$K608:$K1119,0)),INDEX($R608:$R1119,MATCH($K607,$K608:$K1119,0)))))</f>
        <v/>
      </c>
      <c r="S607" s="35" t="str">
        <f t="shared" si="2"/>
        <v/>
      </c>
      <c r="T607" s="37" t="str">
        <f t="shared" si="3"/>
        <v/>
      </c>
      <c r="U607" s="38" t="str">
        <f t="shared" si="4"/>
        <v/>
      </c>
      <c r="V607" s="31" t="str">
        <f t="shared" si="5"/>
        <v/>
      </c>
      <c r="W607" s="39" t="str">
        <f>IFERROR(__xludf.DUMMYFUNCTION(" IF(Account!$F607&lt;&gt;"""", SPLIT(Account!$F607, "" ""), """")"),"")</f>
        <v/>
      </c>
      <c r="X607" s="40"/>
      <c r="Y607" s="40"/>
      <c r="Z607" s="40"/>
      <c r="AA607" s="40"/>
      <c r="AB607" s="40"/>
      <c r="AC607" s="40"/>
      <c r="AD607" s="40"/>
      <c r="AE607" s="40"/>
      <c r="AF607" s="40"/>
      <c r="AG607" s="40"/>
      <c r="AH607" s="40"/>
      <c r="AI607" s="40"/>
      <c r="AJ607" s="40"/>
      <c r="AK607" s="40"/>
    </row>
    <row r="608">
      <c r="A608" s="300"/>
      <c r="B608" s="300"/>
      <c r="C608" s="300"/>
      <c r="D608" s="300"/>
      <c r="E608" s="300"/>
      <c r="F608" s="329"/>
      <c r="G608" s="300"/>
      <c r="H608" s="300"/>
      <c r="I608" s="300"/>
      <c r="J608" s="300"/>
      <c r="K608" s="300"/>
      <c r="L608" s="329"/>
      <c r="M608" s="29" t="str">
        <f t="shared" si="1"/>
        <v/>
      </c>
      <c r="N608" s="31" t="str">
        <f>IFERROR(__xludf.DUMMYFUNCTION("IF(Account!$F608&lt;&gt;"""", VALUE(REGEXREPLACE($I608, ""\,"", ""."")), """")"),"")</f>
        <v/>
      </c>
      <c r="O608" s="33" t="str">
        <f>IF(Account!$F608&lt;&gt;"", DATEVALUE(MID($A608,4,3) &amp; LEFT($A608,3) &amp; RIGHT($A608,4)) + TIMEVALUE($B608), "")</f>
        <v/>
      </c>
      <c r="P608" s="34" t="str">
        <f>IF(Account!$F608&lt;&gt;"", DATEVALUE(MID($C608,4,3) &amp; LEFT($C608,3) &amp; RIGHT($C608,4)), "")</f>
        <v/>
      </c>
      <c r="Q608" s="35" t="str">
        <f t="array" ref="Q608">IF($R608&lt;&gt;"",IFERROR(INDEX(Investment!$A:$A,MATCH($R608,Investment!$H:$H,0))),)</f>
        <v/>
      </c>
      <c r="R608" s="36" t="str">
        <f t="array" ref="R608">IF(AND($Y608="change",$H608="EUR"),IF(AND($AA608="Crédit",$O608=$O609),$R609,IF(AND($AA608="Débit",$O608=$O607),$R607)),IF(OR(AND(OR($E608&lt;&gt;"",$M608=""),$N608&lt;&gt;0),$A608=""),IFERROR(INDEX(Investment!$H:$H,MATCH($E608,Investment!$F:$F,0))),IFERROR(INDEX($R609:$R1119,MATCH(SUBSTITUTE($I608,"-","",1),$K609:$K1119,0)),INDEX($R609:$R1119,MATCH($K608,$K609:$K1119,0)))))</f>
        <v/>
      </c>
      <c r="S608" s="35" t="str">
        <f t="shared" si="2"/>
        <v/>
      </c>
      <c r="T608" s="37" t="str">
        <f t="shared" si="3"/>
        <v/>
      </c>
      <c r="U608" s="38" t="str">
        <f t="shared" si="4"/>
        <v/>
      </c>
      <c r="V608" s="31" t="str">
        <f t="shared" si="5"/>
        <v/>
      </c>
      <c r="W608" s="39" t="str">
        <f>IFERROR(__xludf.DUMMYFUNCTION(" IF(Account!$F608&lt;&gt;"""", SPLIT(Account!$F608, "" ""), """")"),"")</f>
        <v/>
      </c>
      <c r="X608" s="40"/>
      <c r="Y608" s="40"/>
      <c r="Z608" s="40"/>
      <c r="AA608" s="40"/>
      <c r="AB608" s="40"/>
      <c r="AC608" s="40"/>
      <c r="AD608" s="40"/>
      <c r="AE608" s="40"/>
      <c r="AF608" s="40"/>
      <c r="AG608" s="40"/>
      <c r="AH608" s="40"/>
      <c r="AI608" s="40"/>
      <c r="AJ608" s="40"/>
      <c r="AK608" s="40"/>
    </row>
    <row r="609">
      <c r="A609" s="300"/>
      <c r="B609" s="300"/>
      <c r="C609" s="300"/>
      <c r="D609" s="300"/>
      <c r="E609" s="300"/>
      <c r="F609" s="329"/>
      <c r="G609" s="300"/>
      <c r="H609" s="300"/>
      <c r="I609" s="300"/>
      <c r="J609" s="300"/>
      <c r="K609" s="300"/>
      <c r="L609" s="329"/>
      <c r="M609" s="29" t="str">
        <f t="shared" si="1"/>
        <v/>
      </c>
      <c r="N609" s="31" t="str">
        <f>IFERROR(__xludf.DUMMYFUNCTION("IF(Account!$F609&lt;&gt;"""", VALUE(REGEXREPLACE($I609, ""\,"", ""."")), """")"),"")</f>
        <v/>
      </c>
      <c r="O609" s="33" t="str">
        <f>IF(Account!$F609&lt;&gt;"", DATEVALUE(MID($A609,4,3) &amp; LEFT($A609,3) &amp; RIGHT($A609,4)) + TIMEVALUE($B609), "")</f>
        <v/>
      </c>
      <c r="P609" s="34" t="str">
        <f>IF(Account!$F609&lt;&gt;"", DATEVALUE(MID($C609,4,3) &amp; LEFT($C609,3) &amp; RIGHT($C609,4)), "")</f>
        <v/>
      </c>
      <c r="Q609" s="35" t="str">
        <f t="array" ref="Q609">IF($R609&lt;&gt;"",IFERROR(INDEX(Investment!$A:$A,MATCH($R609,Investment!$H:$H,0))),)</f>
        <v/>
      </c>
      <c r="R609" s="36" t="str">
        <f t="array" ref="R609">IF(AND($Y609="change",$H609="EUR"),IF(AND($AA609="Crédit",$O609=$O610),$R610,IF(AND($AA609="Débit",$O609=$O608),$R608)),IF(OR(AND(OR($E609&lt;&gt;"",$M609=""),$N609&lt;&gt;0),$A609=""),IFERROR(INDEX(Investment!$H:$H,MATCH($E609,Investment!$F:$F,0))),IFERROR(INDEX($R610:$R1119,MATCH(SUBSTITUTE($I609,"-","",1),$K610:$K1119,0)),INDEX($R610:$R1119,MATCH($K609,$K610:$K1119,0)))))</f>
        <v/>
      </c>
      <c r="S609" s="35" t="str">
        <f t="shared" si="2"/>
        <v/>
      </c>
      <c r="T609" s="37" t="str">
        <f t="shared" si="3"/>
        <v/>
      </c>
      <c r="U609" s="38" t="str">
        <f t="shared" si="4"/>
        <v/>
      </c>
      <c r="V609" s="31" t="str">
        <f t="shared" si="5"/>
        <v/>
      </c>
      <c r="W609" s="39" t="str">
        <f>IFERROR(__xludf.DUMMYFUNCTION(" IF(Account!$F609&lt;&gt;"""", SPLIT(Account!$F609, "" ""), """")"),"")</f>
        <v/>
      </c>
      <c r="X609" s="40"/>
      <c r="Y609" s="40"/>
      <c r="Z609" s="40"/>
      <c r="AA609" s="40"/>
      <c r="AB609" s="40"/>
      <c r="AC609" s="40"/>
      <c r="AD609" s="40"/>
      <c r="AE609" s="40"/>
      <c r="AF609" s="40"/>
      <c r="AG609" s="40"/>
      <c r="AH609" s="40"/>
      <c r="AI609" s="40"/>
      <c r="AJ609" s="40"/>
      <c r="AK609" s="40"/>
    </row>
    <row r="610">
      <c r="A610" s="300"/>
      <c r="B610" s="300"/>
      <c r="C610" s="300"/>
      <c r="D610" s="300"/>
      <c r="E610" s="300"/>
      <c r="F610" s="329"/>
      <c r="G610" s="300"/>
      <c r="H610" s="300"/>
      <c r="I610" s="300"/>
      <c r="J610" s="300"/>
      <c r="K610" s="300"/>
      <c r="L610" s="329"/>
      <c r="M610" s="29" t="str">
        <f t="shared" si="1"/>
        <v/>
      </c>
      <c r="N610" s="31" t="str">
        <f>IFERROR(__xludf.DUMMYFUNCTION("IF(Account!$F610&lt;&gt;"""", VALUE(REGEXREPLACE($I610, ""\,"", ""."")), """")"),"")</f>
        <v/>
      </c>
      <c r="O610" s="33" t="str">
        <f>IF(Account!$F610&lt;&gt;"", DATEVALUE(MID($A610,4,3) &amp; LEFT($A610,3) &amp; RIGHT($A610,4)) + TIMEVALUE($B610), "")</f>
        <v/>
      </c>
      <c r="P610" s="34" t="str">
        <f>IF(Account!$F610&lt;&gt;"", DATEVALUE(MID($C610,4,3) &amp; LEFT($C610,3) &amp; RIGHT($C610,4)), "")</f>
        <v/>
      </c>
      <c r="Q610" s="35" t="str">
        <f t="array" ref="Q610">IF($R610&lt;&gt;"",IFERROR(INDEX(Investment!$A:$A,MATCH($R610,Investment!$H:$H,0))),)</f>
        <v/>
      </c>
      <c r="R610" s="36" t="str">
        <f t="array" ref="R610">IF(AND($Y610="change",$H610="EUR"),IF(AND($AA610="Crédit",$O610=$O611),$R611,IF(AND($AA610="Débit",$O610=$O609),$R609)),IF(OR(AND(OR($E610&lt;&gt;"",$M610=""),$N610&lt;&gt;0),$A610=""),IFERROR(INDEX(Investment!$H:$H,MATCH($E610,Investment!$F:$F,0))),IFERROR(INDEX($R611:$R1119,MATCH(SUBSTITUTE($I610,"-","",1),$K611:$K1119,0)),INDEX($R611:$R1119,MATCH($K610,$K611:$K1119,0)))))</f>
        <v/>
      </c>
      <c r="S610" s="35" t="str">
        <f t="shared" si="2"/>
        <v/>
      </c>
      <c r="T610" s="37" t="str">
        <f t="shared" si="3"/>
        <v/>
      </c>
      <c r="U610" s="38" t="str">
        <f t="shared" si="4"/>
        <v/>
      </c>
      <c r="V610" s="31" t="str">
        <f t="shared" si="5"/>
        <v/>
      </c>
      <c r="W610" s="39" t="str">
        <f>IFERROR(__xludf.DUMMYFUNCTION(" IF(Account!$F610&lt;&gt;"""", SPLIT(Account!$F610, "" ""), """")"),"")</f>
        <v/>
      </c>
      <c r="X610" s="40"/>
      <c r="Y610" s="40"/>
      <c r="Z610" s="40"/>
      <c r="AA610" s="40"/>
      <c r="AB610" s="40"/>
      <c r="AC610" s="40"/>
      <c r="AD610" s="40"/>
      <c r="AE610" s="40"/>
      <c r="AF610" s="40"/>
      <c r="AG610" s="40"/>
      <c r="AH610" s="40"/>
      <c r="AI610" s="40"/>
      <c r="AJ610" s="40"/>
      <c r="AK610" s="40"/>
    </row>
    <row r="611">
      <c r="A611" s="300"/>
      <c r="B611" s="300"/>
      <c r="C611" s="300"/>
      <c r="D611" s="300"/>
      <c r="E611" s="300"/>
      <c r="F611" s="329"/>
      <c r="G611" s="300"/>
      <c r="H611" s="300"/>
      <c r="I611" s="300"/>
      <c r="J611" s="300"/>
      <c r="K611" s="300"/>
      <c r="L611" s="329"/>
      <c r="M611" s="29" t="str">
        <f t="shared" si="1"/>
        <v/>
      </c>
      <c r="N611" s="31" t="str">
        <f>IFERROR(__xludf.DUMMYFUNCTION("IF(Account!$F611&lt;&gt;"""", VALUE(REGEXREPLACE($I611, ""\,"", ""."")), """")"),"")</f>
        <v/>
      </c>
      <c r="O611" s="33" t="str">
        <f>IF(Account!$F611&lt;&gt;"", DATEVALUE(MID($A611,4,3) &amp; LEFT($A611,3) &amp; RIGHT($A611,4)) + TIMEVALUE($B611), "")</f>
        <v/>
      </c>
      <c r="P611" s="34" t="str">
        <f>IF(Account!$F611&lt;&gt;"", DATEVALUE(MID($C611,4,3) &amp; LEFT($C611,3) &amp; RIGHT($C611,4)), "")</f>
        <v/>
      </c>
      <c r="Q611" s="35" t="str">
        <f t="array" ref="Q611">IF($R611&lt;&gt;"",IFERROR(INDEX(Investment!$A:$A,MATCH($R611,Investment!$H:$H,0))),)</f>
        <v/>
      </c>
      <c r="R611" s="36" t="str">
        <f t="array" ref="R611">IF(AND($Y611="change",$H611="EUR"),IF(AND($AA611="Crédit",$O611=$O612),$R612,IF(AND($AA611="Débit",$O611=$O610),$R610)),IF(OR(AND(OR($E611&lt;&gt;"",$M611=""),$N611&lt;&gt;0),$A611=""),IFERROR(INDEX(Investment!$H:$H,MATCH($E611,Investment!$F:$F,0))),IFERROR(INDEX($R612:$R1119,MATCH(SUBSTITUTE($I611,"-","",1),$K612:$K1119,0)),INDEX($R612:$R1119,MATCH($K611,$K612:$K1119,0)))))</f>
        <v/>
      </c>
      <c r="S611" s="35" t="str">
        <f t="shared" si="2"/>
        <v/>
      </c>
      <c r="T611" s="37" t="str">
        <f t="shared" si="3"/>
        <v/>
      </c>
      <c r="U611" s="38" t="str">
        <f t="shared" si="4"/>
        <v/>
      </c>
      <c r="V611" s="31" t="str">
        <f t="shared" si="5"/>
        <v/>
      </c>
      <c r="W611" s="39" t="str">
        <f>IFERROR(__xludf.DUMMYFUNCTION(" IF(Account!$F611&lt;&gt;"""", SPLIT(Account!$F611, "" ""), """")"),"")</f>
        <v/>
      </c>
      <c r="X611" s="40"/>
      <c r="Y611" s="40"/>
      <c r="Z611" s="40"/>
      <c r="AA611" s="40"/>
      <c r="AB611" s="40"/>
      <c r="AC611" s="40"/>
      <c r="AD611" s="40"/>
      <c r="AE611" s="40"/>
      <c r="AF611" s="40"/>
      <c r="AG611" s="40"/>
      <c r="AH611" s="40"/>
      <c r="AI611" s="40"/>
      <c r="AJ611" s="40"/>
      <c r="AK611" s="40"/>
    </row>
    <row r="612">
      <c r="A612" s="300"/>
      <c r="B612" s="300"/>
      <c r="C612" s="300"/>
      <c r="D612" s="300"/>
      <c r="E612" s="300"/>
      <c r="F612" s="329"/>
      <c r="G612" s="300"/>
      <c r="H612" s="300"/>
      <c r="I612" s="300"/>
      <c r="J612" s="300"/>
      <c r="K612" s="300"/>
      <c r="L612" s="329"/>
      <c r="M612" s="29" t="str">
        <f t="shared" si="1"/>
        <v/>
      </c>
      <c r="N612" s="31" t="str">
        <f>IFERROR(__xludf.DUMMYFUNCTION("IF(Account!$F612&lt;&gt;"""", VALUE(REGEXREPLACE($I612, ""\,"", ""."")), """")"),"")</f>
        <v/>
      </c>
      <c r="O612" s="33" t="str">
        <f>IF(Account!$F612&lt;&gt;"", DATEVALUE(MID($A612,4,3) &amp; LEFT($A612,3) &amp; RIGHT($A612,4)) + TIMEVALUE($B612), "")</f>
        <v/>
      </c>
      <c r="P612" s="34" t="str">
        <f>IF(Account!$F612&lt;&gt;"", DATEVALUE(MID($C612,4,3) &amp; LEFT($C612,3) &amp; RIGHT($C612,4)), "")</f>
        <v/>
      </c>
      <c r="Q612" s="35" t="str">
        <f t="array" ref="Q612">IF($R612&lt;&gt;"",IFERROR(INDEX(Investment!$A:$A,MATCH($R612,Investment!$H:$H,0))),)</f>
        <v/>
      </c>
      <c r="R612" s="36" t="str">
        <f t="array" ref="R612">IF(AND($Y612="change",$H612="EUR"),IF(AND($AA612="Crédit",$O612=$O613),$R613,IF(AND($AA612="Débit",$O612=$O611),$R611)),IF(OR(AND(OR($E612&lt;&gt;"",$M612=""),$N612&lt;&gt;0),$A612=""),IFERROR(INDEX(Investment!$H:$H,MATCH($E612,Investment!$F:$F,0))),IFERROR(INDEX($R613:$R1119,MATCH(SUBSTITUTE($I612,"-","",1),$K613:$K1119,0)),INDEX($R613:$R1119,MATCH($K612,$K613:$K1119,0)))))</f>
        <v/>
      </c>
      <c r="S612" s="35" t="str">
        <f t="shared" si="2"/>
        <v/>
      </c>
      <c r="T612" s="37" t="str">
        <f t="shared" si="3"/>
        <v/>
      </c>
      <c r="U612" s="38" t="str">
        <f t="shared" si="4"/>
        <v/>
      </c>
      <c r="V612" s="31" t="str">
        <f t="shared" si="5"/>
        <v/>
      </c>
      <c r="W612" s="39" t="str">
        <f>IFERROR(__xludf.DUMMYFUNCTION(" IF(Account!$F612&lt;&gt;"""", SPLIT(Account!$F612, "" ""), """")"),"")</f>
        <v/>
      </c>
      <c r="X612" s="40"/>
      <c r="Y612" s="40"/>
      <c r="Z612" s="40"/>
      <c r="AA612" s="40"/>
      <c r="AB612" s="40"/>
      <c r="AC612" s="40"/>
      <c r="AD612" s="40"/>
      <c r="AE612" s="40"/>
      <c r="AF612" s="40"/>
      <c r="AG612" s="40"/>
      <c r="AH612" s="40"/>
      <c r="AI612" s="40"/>
      <c r="AJ612" s="40"/>
      <c r="AK612" s="40"/>
    </row>
    <row r="613">
      <c r="A613" s="300"/>
      <c r="B613" s="300"/>
      <c r="C613" s="300"/>
      <c r="D613" s="300"/>
      <c r="E613" s="300"/>
      <c r="F613" s="329"/>
      <c r="G613" s="300"/>
      <c r="H613" s="300"/>
      <c r="I613" s="300"/>
      <c r="J613" s="300"/>
      <c r="K613" s="300"/>
      <c r="L613" s="329"/>
      <c r="M613" s="29" t="str">
        <f t="shared" si="1"/>
        <v/>
      </c>
      <c r="N613" s="31" t="str">
        <f>IFERROR(__xludf.DUMMYFUNCTION("IF(Account!$F613&lt;&gt;"""", VALUE(REGEXREPLACE($I613, ""\,"", ""."")), """")"),"")</f>
        <v/>
      </c>
      <c r="O613" s="33" t="str">
        <f>IF(Account!$F613&lt;&gt;"", DATEVALUE(MID($A613,4,3) &amp; LEFT($A613,3) &amp; RIGHT($A613,4)) + TIMEVALUE($B613), "")</f>
        <v/>
      </c>
      <c r="P613" s="34" t="str">
        <f>IF(Account!$F613&lt;&gt;"", DATEVALUE(MID($C613,4,3) &amp; LEFT($C613,3) &amp; RIGHT($C613,4)), "")</f>
        <v/>
      </c>
      <c r="Q613" s="35" t="str">
        <f t="array" ref="Q613">IF($R613&lt;&gt;"",IFERROR(INDEX(Investment!$A:$A,MATCH($R613,Investment!$H:$H,0))),)</f>
        <v/>
      </c>
      <c r="R613" s="36" t="str">
        <f t="array" ref="R613">IF(AND($Y613="change",$H613="EUR"),IF(AND($AA613="Crédit",$O613=$O614),$R614,IF(AND($AA613="Débit",$O613=$O612),$R612)),IF(OR(AND(OR($E613&lt;&gt;"",$M613=""),$N613&lt;&gt;0),$A613=""),IFERROR(INDEX(Investment!$H:$H,MATCH($E613,Investment!$F:$F,0))),IFERROR(INDEX($R614:$R1119,MATCH(SUBSTITUTE($I613,"-","",1),$K614:$K1119,0)),INDEX($R614:$R1119,MATCH($K613,$K614:$K1119,0)))))</f>
        <v/>
      </c>
      <c r="S613" s="35" t="str">
        <f t="shared" si="2"/>
        <v/>
      </c>
      <c r="T613" s="37" t="str">
        <f t="shared" si="3"/>
        <v/>
      </c>
      <c r="U613" s="38" t="str">
        <f t="shared" si="4"/>
        <v/>
      </c>
      <c r="V613" s="31" t="str">
        <f t="shared" si="5"/>
        <v/>
      </c>
      <c r="W613" s="39" t="str">
        <f>IFERROR(__xludf.DUMMYFUNCTION(" IF(Account!$F613&lt;&gt;"""", SPLIT(Account!$F613, "" ""), """")"),"")</f>
        <v/>
      </c>
      <c r="X613" s="40"/>
      <c r="Y613" s="40"/>
      <c r="Z613" s="40"/>
      <c r="AA613" s="40"/>
      <c r="AB613" s="40"/>
      <c r="AC613" s="40"/>
      <c r="AD613" s="40"/>
      <c r="AE613" s="40"/>
      <c r="AF613" s="40"/>
      <c r="AG613" s="40"/>
      <c r="AH613" s="40"/>
      <c r="AI613" s="40"/>
      <c r="AJ613" s="40"/>
      <c r="AK613" s="40"/>
    </row>
    <row r="614">
      <c r="A614" s="300"/>
      <c r="B614" s="300"/>
      <c r="C614" s="300"/>
      <c r="D614" s="300"/>
      <c r="E614" s="300"/>
      <c r="F614" s="329"/>
      <c r="G614" s="300"/>
      <c r="H614" s="300"/>
      <c r="I614" s="300"/>
      <c r="J614" s="300"/>
      <c r="K614" s="300"/>
      <c r="L614" s="329"/>
      <c r="M614" s="29" t="str">
        <f t="shared" si="1"/>
        <v/>
      </c>
      <c r="N614" s="31" t="str">
        <f>IFERROR(__xludf.DUMMYFUNCTION("IF(Account!$F614&lt;&gt;"""", VALUE(REGEXREPLACE($I614, ""\,"", ""."")), """")"),"")</f>
        <v/>
      </c>
      <c r="O614" s="33" t="str">
        <f>IF(Account!$F614&lt;&gt;"", DATEVALUE(MID($A614,4,3) &amp; LEFT($A614,3) &amp; RIGHT($A614,4)) + TIMEVALUE($B614), "")</f>
        <v/>
      </c>
      <c r="P614" s="34" t="str">
        <f>IF(Account!$F614&lt;&gt;"", DATEVALUE(MID($C614,4,3) &amp; LEFT($C614,3) &amp; RIGHT($C614,4)), "")</f>
        <v/>
      </c>
      <c r="Q614" s="35" t="str">
        <f t="array" ref="Q614">IF($R614&lt;&gt;"",IFERROR(INDEX(Investment!$A:$A,MATCH($R614,Investment!$H:$H,0))),)</f>
        <v/>
      </c>
      <c r="R614" s="36" t="str">
        <f t="array" ref="R614">IF(AND($Y614="change",$H614="EUR"),IF(AND($AA614="Crédit",$O614=$O615),$R615,IF(AND($AA614="Débit",$O614=$O613),$R613)),IF(OR(AND(OR($E614&lt;&gt;"",$M614=""),$N614&lt;&gt;0),$A614=""),IFERROR(INDEX(Investment!$H:$H,MATCH($E614,Investment!$F:$F,0))),IFERROR(INDEX($R615:$R1119,MATCH(SUBSTITUTE($I614,"-","",1),$K615:$K1119,0)),INDEX($R615:$R1119,MATCH($K614,$K615:$K1119,0)))))</f>
        <v/>
      </c>
      <c r="S614" s="35" t="str">
        <f t="shared" si="2"/>
        <v/>
      </c>
      <c r="T614" s="37" t="str">
        <f t="shared" si="3"/>
        <v/>
      </c>
      <c r="U614" s="38" t="str">
        <f t="shared" si="4"/>
        <v/>
      </c>
      <c r="V614" s="31" t="str">
        <f t="shared" si="5"/>
        <v/>
      </c>
      <c r="W614" s="39" t="str">
        <f>IFERROR(__xludf.DUMMYFUNCTION(" IF(Account!$F614&lt;&gt;"""", SPLIT(Account!$F614, "" ""), """")"),"")</f>
        <v/>
      </c>
      <c r="X614" s="40"/>
      <c r="Y614" s="40"/>
      <c r="Z614" s="40"/>
      <c r="AA614" s="40"/>
      <c r="AB614" s="40"/>
      <c r="AC614" s="40"/>
      <c r="AD614" s="40"/>
      <c r="AE614" s="40"/>
      <c r="AF614" s="40"/>
      <c r="AG614" s="40"/>
      <c r="AH614" s="40"/>
      <c r="AI614" s="40"/>
      <c r="AJ614" s="40"/>
      <c r="AK614" s="40"/>
    </row>
    <row r="615">
      <c r="A615" s="300"/>
      <c r="B615" s="300"/>
      <c r="C615" s="300"/>
      <c r="D615" s="300"/>
      <c r="E615" s="300"/>
      <c r="F615" s="329"/>
      <c r="G615" s="300"/>
      <c r="H615" s="300"/>
      <c r="I615" s="300"/>
      <c r="J615" s="300"/>
      <c r="K615" s="300"/>
      <c r="L615" s="329"/>
      <c r="M615" s="29" t="str">
        <f t="shared" si="1"/>
        <v/>
      </c>
      <c r="N615" s="31" t="str">
        <f>IFERROR(__xludf.DUMMYFUNCTION("IF(Account!$F615&lt;&gt;"""", VALUE(REGEXREPLACE($I615, ""\,"", ""."")), """")"),"")</f>
        <v/>
      </c>
      <c r="O615" s="33" t="str">
        <f>IF(Account!$F615&lt;&gt;"", DATEVALUE(MID($A615,4,3) &amp; LEFT($A615,3) &amp; RIGHT($A615,4)) + TIMEVALUE($B615), "")</f>
        <v/>
      </c>
      <c r="P615" s="34" t="str">
        <f>IF(Account!$F615&lt;&gt;"", DATEVALUE(MID($C615,4,3) &amp; LEFT($C615,3) &amp; RIGHT($C615,4)), "")</f>
        <v/>
      </c>
      <c r="Q615" s="35" t="str">
        <f t="array" ref="Q615">IF($R615&lt;&gt;"",IFERROR(INDEX(Investment!$A:$A,MATCH($R615,Investment!$H:$H,0))),)</f>
        <v/>
      </c>
      <c r="R615" s="36" t="str">
        <f t="array" ref="R615">IF(AND($Y615="change",$H615="EUR"),IF(AND($AA615="Crédit",$O615=$O616),$R616,IF(AND($AA615="Débit",$O615=$O614),$R614)),IF(OR(AND(OR($E615&lt;&gt;"",$M615=""),$N615&lt;&gt;0),$A615=""),IFERROR(INDEX(Investment!$H:$H,MATCH($E615,Investment!$F:$F,0))),IFERROR(INDEX($R616:$R1119,MATCH(SUBSTITUTE($I615,"-","",1),$K616:$K1119,0)),INDEX($R616:$R1119,MATCH($K615,$K616:$K1119,0)))))</f>
        <v/>
      </c>
      <c r="S615" s="35" t="str">
        <f t="shared" si="2"/>
        <v/>
      </c>
      <c r="T615" s="37" t="str">
        <f t="shared" si="3"/>
        <v/>
      </c>
      <c r="U615" s="38" t="str">
        <f t="shared" si="4"/>
        <v/>
      </c>
      <c r="V615" s="31" t="str">
        <f t="shared" si="5"/>
        <v/>
      </c>
      <c r="W615" s="39" t="str">
        <f>IFERROR(__xludf.DUMMYFUNCTION(" IF(Account!$F615&lt;&gt;"""", SPLIT(Account!$F615, "" ""), """")"),"")</f>
        <v/>
      </c>
      <c r="X615" s="40"/>
      <c r="Y615" s="40"/>
      <c r="Z615" s="40"/>
      <c r="AA615" s="40"/>
      <c r="AB615" s="40"/>
      <c r="AC615" s="40"/>
      <c r="AD615" s="40"/>
      <c r="AE615" s="40"/>
      <c r="AF615" s="40"/>
      <c r="AG615" s="40"/>
      <c r="AH615" s="40"/>
      <c r="AI615" s="40"/>
      <c r="AJ615" s="40"/>
      <c r="AK615" s="40"/>
    </row>
    <row r="616">
      <c r="A616" s="300"/>
      <c r="B616" s="300"/>
      <c r="C616" s="300"/>
      <c r="D616" s="300"/>
      <c r="E616" s="300"/>
      <c r="F616" s="329"/>
      <c r="G616" s="300"/>
      <c r="H616" s="300"/>
      <c r="I616" s="300"/>
      <c r="J616" s="300"/>
      <c r="K616" s="300"/>
      <c r="L616" s="329"/>
      <c r="M616" s="29" t="str">
        <f t="shared" si="1"/>
        <v/>
      </c>
      <c r="N616" s="31" t="str">
        <f>IFERROR(__xludf.DUMMYFUNCTION("IF(Account!$F616&lt;&gt;"""", VALUE(REGEXREPLACE($I616, ""\,"", ""."")), """")"),"")</f>
        <v/>
      </c>
      <c r="O616" s="33" t="str">
        <f>IF(Account!$F616&lt;&gt;"", DATEVALUE(MID($A616,4,3) &amp; LEFT($A616,3) &amp; RIGHT($A616,4)) + TIMEVALUE($B616), "")</f>
        <v/>
      </c>
      <c r="P616" s="34" t="str">
        <f>IF(Account!$F616&lt;&gt;"", DATEVALUE(MID($C616,4,3) &amp; LEFT($C616,3) &amp; RIGHT($C616,4)), "")</f>
        <v/>
      </c>
      <c r="Q616" s="35" t="str">
        <f t="array" ref="Q616">IF($R616&lt;&gt;"",IFERROR(INDEX(Investment!$A:$A,MATCH($R616,Investment!$H:$H,0))),)</f>
        <v/>
      </c>
      <c r="R616" s="36" t="str">
        <f t="array" ref="R616">IF(AND($Y616="change",$H616="EUR"),IF(AND($AA616="Crédit",$O616=$O617),$R617,IF(AND($AA616="Débit",$O616=$O615),$R615)),IF(OR(AND(OR($E616&lt;&gt;"",$M616=""),$N616&lt;&gt;0),$A616=""),IFERROR(INDEX(Investment!$H:$H,MATCH($E616,Investment!$F:$F,0))),IFERROR(INDEX($R617:$R1119,MATCH(SUBSTITUTE($I616,"-","",1),$K617:$K1119,0)),INDEX($R617:$R1119,MATCH($K616,$K617:$K1119,0)))))</f>
        <v/>
      </c>
      <c r="S616" s="35" t="str">
        <f t="shared" si="2"/>
        <v/>
      </c>
      <c r="T616" s="37" t="str">
        <f t="shared" si="3"/>
        <v/>
      </c>
      <c r="U616" s="38" t="str">
        <f t="shared" si="4"/>
        <v/>
      </c>
      <c r="V616" s="31" t="str">
        <f t="shared" si="5"/>
        <v/>
      </c>
      <c r="W616" s="39" t="str">
        <f>IFERROR(__xludf.DUMMYFUNCTION(" IF(Account!$F616&lt;&gt;"""", SPLIT(Account!$F616, "" ""), """")"),"")</f>
        <v/>
      </c>
      <c r="X616" s="40"/>
      <c r="Y616" s="40"/>
      <c r="Z616" s="40"/>
      <c r="AA616" s="40"/>
      <c r="AB616" s="40"/>
      <c r="AC616" s="40"/>
      <c r="AD616" s="40"/>
      <c r="AE616" s="40"/>
      <c r="AF616" s="40"/>
      <c r="AG616" s="40"/>
      <c r="AH616" s="40"/>
      <c r="AI616" s="40"/>
      <c r="AJ616" s="40"/>
      <c r="AK616" s="40"/>
    </row>
    <row r="617">
      <c r="A617" s="300"/>
      <c r="B617" s="300"/>
      <c r="C617" s="300"/>
      <c r="D617" s="300"/>
      <c r="E617" s="300"/>
      <c r="F617" s="329"/>
      <c r="G617" s="300"/>
      <c r="H617" s="300"/>
      <c r="I617" s="300"/>
      <c r="J617" s="300"/>
      <c r="K617" s="300"/>
      <c r="L617" s="329"/>
      <c r="M617" s="29" t="str">
        <f t="shared" si="1"/>
        <v/>
      </c>
      <c r="N617" s="31" t="str">
        <f>IFERROR(__xludf.DUMMYFUNCTION("IF(Account!$F617&lt;&gt;"""", VALUE(REGEXREPLACE($I617, ""\,"", ""."")), """")"),"")</f>
        <v/>
      </c>
      <c r="O617" s="33" t="str">
        <f>IF(Account!$F617&lt;&gt;"", DATEVALUE(MID($A617,4,3) &amp; LEFT($A617,3) &amp; RIGHT($A617,4)) + TIMEVALUE($B617), "")</f>
        <v/>
      </c>
      <c r="P617" s="34" t="str">
        <f>IF(Account!$F617&lt;&gt;"", DATEVALUE(MID($C617,4,3) &amp; LEFT($C617,3) &amp; RIGHT($C617,4)), "")</f>
        <v/>
      </c>
      <c r="Q617" s="35" t="str">
        <f t="array" ref="Q617">IF($R617&lt;&gt;"",IFERROR(INDEX(Investment!$A:$A,MATCH($R617,Investment!$H:$H,0))),)</f>
        <v/>
      </c>
      <c r="R617" s="36" t="str">
        <f t="array" ref="R617">IF(AND($Y617="change",$H617="EUR"),IF(AND($AA617="Crédit",$O617=$O618),$R618,IF(AND($AA617="Débit",$O617=$O616),$R616)),IF(OR(AND(OR($E617&lt;&gt;"",$M617=""),$N617&lt;&gt;0),$A617=""),IFERROR(INDEX(Investment!$H:$H,MATCH($E617,Investment!$F:$F,0))),IFERROR(INDEX($R618:$R1119,MATCH(SUBSTITUTE($I617,"-","",1),$K618:$K1119,0)),INDEX($R618:$R1119,MATCH($K617,$K618:$K1119,0)))))</f>
        <v/>
      </c>
      <c r="S617" s="35" t="str">
        <f t="shared" si="2"/>
        <v/>
      </c>
      <c r="T617" s="37" t="str">
        <f t="shared" si="3"/>
        <v/>
      </c>
      <c r="U617" s="38" t="str">
        <f t="shared" si="4"/>
        <v/>
      </c>
      <c r="V617" s="31" t="str">
        <f t="shared" si="5"/>
        <v/>
      </c>
      <c r="W617" s="39" t="str">
        <f>IFERROR(__xludf.DUMMYFUNCTION(" IF(Account!$F617&lt;&gt;"""", SPLIT(Account!$F617, "" ""), """")"),"")</f>
        <v/>
      </c>
      <c r="X617" s="40"/>
      <c r="Y617" s="40"/>
      <c r="Z617" s="40"/>
      <c r="AA617" s="40"/>
      <c r="AB617" s="40"/>
      <c r="AC617" s="40"/>
      <c r="AD617" s="40"/>
      <c r="AE617" s="40"/>
      <c r="AF617" s="40"/>
      <c r="AG617" s="40"/>
      <c r="AH617" s="40"/>
      <c r="AI617" s="40"/>
      <c r="AJ617" s="40"/>
      <c r="AK617" s="40"/>
    </row>
    <row r="618">
      <c r="A618" s="300"/>
      <c r="B618" s="300"/>
      <c r="C618" s="300"/>
      <c r="D618" s="300"/>
      <c r="E618" s="300"/>
      <c r="F618" s="329"/>
      <c r="G618" s="300"/>
      <c r="H618" s="300"/>
      <c r="I618" s="300"/>
      <c r="J618" s="300"/>
      <c r="K618" s="300"/>
      <c r="L618" s="329"/>
      <c r="M618" s="29" t="str">
        <f t="shared" si="1"/>
        <v/>
      </c>
      <c r="N618" s="31" t="str">
        <f>IFERROR(__xludf.DUMMYFUNCTION("IF(Account!$F618&lt;&gt;"""", VALUE(REGEXREPLACE($I618, ""\,"", ""."")), """")"),"")</f>
        <v/>
      </c>
      <c r="O618" s="33" t="str">
        <f>IF(Account!$F618&lt;&gt;"", DATEVALUE(MID($A618,4,3) &amp; LEFT($A618,3) &amp; RIGHT($A618,4)) + TIMEVALUE($B618), "")</f>
        <v/>
      </c>
      <c r="P618" s="34" t="str">
        <f>IF(Account!$F618&lt;&gt;"", DATEVALUE(MID($C618,4,3) &amp; LEFT($C618,3) &amp; RIGHT($C618,4)), "")</f>
        <v/>
      </c>
      <c r="Q618" s="35" t="str">
        <f t="array" ref="Q618">IF($R618&lt;&gt;"",IFERROR(INDEX(Investment!$A:$A,MATCH($R618,Investment!$H:$H,0))),)</f>
        <v/>
      </c>
      <c r="R618" s="36" t="str">
        <f t="array" ref="R618">IF(AND($Y618="change",$H618="EUR"),IF(AND($AA618="Crédit",$O618=$O619),$R619,IF(AND($AA618="Débit",$O618=$O617),$R617)),IF(OR(AND(OR($E618&lt;&gt;"",$M618=""),$N618&lt;&gt;0),$A618=""),IFERROR(INDEX(Investment!$H:$H,MATCH($E618,Investment!$F:$F,0))),IFERROR(INDEX($R619:$R1119,MATCH(SUBSTITUTE($I618,"-","",1),$K619:$K1119,0)),INDEX($R619:$R1119,MATCH($K618,$K619:$K1119,0)))))</f>
        <v/>
      </c>
      <c r="S618" s="35" t="str">
        <f t="shared" si="2"/>
        <v/>
      </c>
      <c r="T618" s="37" t="str">
        <f t="shared" si="3"/>
        <v/>
      </c>
      <c r="U618" s="38" t="str">
        <f t="shared" si="4"/>
        <v/>
      </c>
      <c r="V618" s="31" t="str">
        <f t="shared" si="5"/>
        <v/>
      </c>
      <c r="W618" s="39" t="str">
        <f>IFERROR(__xludf.DUMMYFUNCTION(" IF(Account!$F618&lt;&gt;"""", SPLIT(Account!$F618, "" ""), """")"),"")</f>
        <v/>
      </c>
      <c r="X618" s="40"/>
      <c r="Y618" s="40"/>
      <c r="Z618" s="40"/>
      <c r="AA618" s="40"/>
      <c r="AB618" s="40"/>
      <c r="AC618" s="40"/>
      <c r="AD618" s="40"/>
      <c r="AE618" s="40"/>
      <c r="AF618" s="40"/>
      <c r="AG618" s="40"/>
      <c r="AH618" s="40"/>
      <c r="AI618" s="40"/>
      <c r="AJ618" s="40"/>
      <c r="AK618" s="40"/>
    </row>
    <row r="619">
      <c r="A619" s="300"/>
      <c r="B619" s="300"/>
      <c r="C619" s="300"/>
      <c r="D619" s="300"/>
      <c r="E619" s="300"/>
      <c r="F619" s="329"/>
      <c r="G619" s="300"/>
      <c r="H619" s="300"/>
      <c r="I619" s="300"/>
      <c r="J619" s="300"/>
      <c r="K619" s="300"/>
      <c r="L619" s="329"/>
      <c r="M619" s="29" t="str">
        <f t="shared" si="1"/>
        <v/>
      </c>
      <c r="N619" s="31" t="str">
        <f>IFERROR(__xludf.DUMMYFUNCTION("IF(Account!$F619&lt;&gt;"""", VALUE(REGEXREPLACE($I619, ""\,"", ""."")), """")"),"")</f>
        <v/>
      </c>
      <c r="O619" s="33" t="str">
        <f>IF(Account!$F619&lt;&gt;"", DATEVALUE(MID($A619,4,3) &amp; LEFT($A619,3) &amp; RIGHT($A619,4)) + TIMEVALUE($B619), "")</f>
        <v/>
      </c>
      <c r="P619" s="34" t="str">
        <f>IF(Account!$F619&lt;&gt;"", DATEVALUE(MID($C619,4,3) &amp; LEFT($C619,3) &amp; RIGHT($C619,4)), "")</f>
        <v/>
      </c>
      <c r="Q619" s="35" t="str">
        <f t="array" ref="Q619">IF($R619&lt;&gt;"",IFERROR(INDEX(Investment!$A:$A,MATCH($R619,Investment!$H:$H,0))),)</f>
        <v/>
      </c>
      <c r="R619" s="36" t="str">
        <f t="array" ref="R619">IF(AND($Y619="change",$H619="EUR"),IF(AND($AA619="Crédit",$O619=$O620),$R620,IF(AND($AA619="Débit",$O619=$O618),$R618)),IF(OR(AND(OR($E619&lt;&gt;"",$M619=""),$N619&lt;&gt;0),$A619=""),IFERROR(INDEX(Investment!$H:$H,MATCH($E619,Investment!$F:$F,0))),IFERROR(INDEX($R620:$R1119,MATCH(SUBSTITUTE($I619,"-","",1),$K620:$K1119,0)),INDEX($R620:$R1119,MATCH($K619,$K620:$K1119,0)))))</f>
        <v/>
      </c>
      <c r="S619" s="35" t="str">
        <f t="shared" si="2"/>
        <v/>
      </c>
      <c r="T619" s="37" t="str">
        <f t="shared" si="3"/>
        <v/>
      </c>
      <c r="U619" s="38" t="str">
        <f t="shared" si="4"/>
        <v/>
      </c>
      <c r="V619" s="31" t="str">
        <f t="shared" si="5"/>
        <v/>
      </c>
      <c r="W619" s="39" t="str">
        <f>IFERROR(__xludf.DUMMYFUNCTION(" IF(Account!$F619&lt;&gt;"""", SPLIT(Account!$F619, "" ""), """")"),"")</f>
        <v/>
      </c>
      <c r="X619" s="40"/>
      <c r="Y619" s="40"/>
      <c r="Z619" s="40"/>
      <c r="AA619" s="40"/>
      <c r="AB619" s="40"/>
      <c r="AC619" s="40"/>
      <c r="AD619" s="40"/>
      <c r="AE619" s="40"/>
      <c r="AF619" s="40"/>
      <c r="AG619" s="40"/>
      <c r="AH619" s="40"/>
      <c r="AI619" s="40"/>
      <c r="AJ619" s="40"/>
      <c r="AK619" s="40"/>
    </row>
    <row r="620">
      <c r="A620" s="300"/>
      <c r="B620" s="300"/>
      <c r="C620" s="300"/>
      <c r="D620" s="300"/>
      <c r="E620" s="300"/>
      <c r="F620" s="329"/>
      <c r="G620" s="300"/>
      <c r="H620" s="300"/>
      <c r="I620" s="300"/>
      <c r="J620" s="300"/>
      <c r="K620" s="300"/>
      <c r="L620" s="329"/>
      <c r="M620" s="29" t="str">
        <f t="shared" si="1"/>
        <v/>
      </c>
      <c r="N620" s="31" t="str">
        <f>IFERROR(__xludf.DUMMYFUNCTION("IF(Account!$F620&lt;&gt;"""", VALUE(REGEXREPLACE($I620, ""\,"", ""."")), """")"),"")</f>
        <v/>
      </c>
      <c r="O620" s="33" t="str">
        <f>IF(Account!$F620&lt;&gt;"", DATEVALUE(MID($A620,4,3) &amp; LEFT($A620,3) &amp; RIGHT($A620,4)) + TIMEVALUE($B620), "")</f>
        <v/>
      </c>
      <c r="P620" s="34" t="str">
        <f>IF(Account!$F620&lt;&gt;"", DATEVALUE(MID($C620,4,3) &amp; LEFT($C620,3) &amp; RIGHT($C620,4)), "")</f>
        <v/>
      </c>
      <c r="Q620" s="35" t="str">
        <f t="array" ref="Q620">IF($R620&lt;&gt;"",IFERROR(INDEX(Investment!$A:$A,MATCH($R620,Investment!$H:$H,0))),)</f>
        <v/>
      </c>
      <c r="R620" s="36" t="str">
        <f t="array" ref="R620">IF(AND($Y620="change",$H620="EUR"),IF(AND($AA620="Crédit",$O620=$O621),$R621,IF(AND($AA620="Débit",$O620=$O619),$R619)),IF(OR(AND(OR($E620&lt;&gt;"",$M620=""),$N620&lt;&gt;0),$A620=""),IFERROR(INDEX(Investment!$H:$H,MATCH($E620,Investment!$F:$F,0))),IFERROR(INDEX($R621:$R1119,MATCH(SUBSTITUTE($I620,"-","",1),$K621:$K1119,0)),INDEX($R621:$R1119,MATCH($K620,$K621:$K1119,0)))))</f>
        <v/>
      </c>
      <c r="S620" s="35" t="str">
        <f t="shared" si="2"/>
        <v/>
      </c>
      <c r="T620" s="37" t="str">
        <f t="shared" si="3"/>
        <v/>
      </c>
      <c r="U620" s="38" t="str">
        <f t="shared" si="4"/>
        <v/>
      </c>
      <c r="V620" s="31" t="str">
        <f t="shared" si="5"/>
        <v/>
      </c>
      <c r="W620" s="39" t="str">
        <f>IFERROR(__xludf.DUMMYFUNCTION(" IF(Account!$F620&lt;&gt;"""", SPLIT(Account!$F620, "" ""), """")"),"")</f>
        <v/>
      </c>
      <c r="X620" s="40"/>
      <c r="Y620" s="40"/>
      <c r="Z620" s="40"/>
      <c r="AA620" s="40"/>
      <c r="AB620" s="40"/>
      <c r="AC620" s="40"/>
      <c r="AD620" s="40"/>
      <c r="AE620" s="40"/>
      <c r="AF620" s="40"/>
      <c r="AG620" s="40"/>
      <c r="AH620" s="40"/>
      <c r="AI620" s="40"/>
      <c r="AJ620" s="40"/>
      <c r="AK620" s="40"/>
    </row>
    <row r="621">
      <c r="A621" s="300"/>
      <c r="B621" s="300"/>
      <c r="C621" s="300"/>
      <c r="D621" s="300"/>
      <c r="E621" s="300"/>
      <c r="F621" s="329"/>
      <c r="G621" s="300"/>
      <c r="H621" s="300"/>
      <c r="I621" s="300"/>
      <c r="J621" s="300"/>
      <c r="K621" s="300"/>
      <c r="L621" s="329"/>
      <c r="M621" s="29" t="str">
        <f t="shared" si="1"/>
        <v/>
      </c>
      <c r="N621" s="31" t="str">
        <f>IFERROR(__xludf.DUMMYFUNCTION("IF(Account!$F621&lt;&gt;"""", VALUE(REGEXREPLACE($I621, ""\,"", ""."")), """")"),"")</f>
        <v/>
      </c>
      <c r="O621" s="33" t="str">
        <f>IF(Account!$F621&lt;&gt;"", DATEVALUE(MID($A621,4,3) &amp; LEFT($A621,3) &amp; RIGHT($A621,4)) + TIMEVALUE($B621), "")</f>
        <v/>
      </c>
      <c r="P621" s="34" t="str">
        <f>IF(Account!$F621&lt;&gt;"", DATEVALUE(MID($C621,4,3) &amp; LEFT($C621,3) &amp; RIGHT($C621,4)), "")</f>
        <v/>
      </c>
      <c r="Q621" s="35" t="str">
        <f t="array" ref="Q621">IF($R621&lt;&gt;"",IFERROR(INDEX(Investment!$A:$A,MATCH($R621,Investment!$H:$H,0))),)</f>
        <v/>
      </c>
      <c r="R621" s="36" t="str">
        <f t="array" ref="R621">IF(AND($Y621="change",$H621="EUR"),IF(AND($AA621="Crédit",$O621=$O622),$R622,IF(AND($AA621="Débit",$O621=$O620),$R620)),IF(OR(AND(OR($E621&lt;&gt;"",$M621=""),$N621&lt;&gt;0),$A621=""),IFERROR(INDEX(Investment!$H:$H,MATCH($E621,Investment!$F:$F,0))),IFERROR(INDEX($R622:$R1119,MATCH(SUBSTITUTE($I621,"-","",1),$K622:$K1119,0)),INDEX($R622:$R1119,MATCH($K621,$K622:$K1119,0)))))</f>
        <v/>
      </c>
      <c r="S621" s="35" t="str">
        <f t="shared" si="2"/>
        <v/>
      </c>
      <c r="T621" s="37" t="str">
        <f t="shared" si="3"/>
        <v/>
      </c>
      <c r="U621" s="38" t="str">
        <f t="shared" si="4"/>
        <v/>
      </c>
      <c r="V621" s="31" t="str">
        <f t="shared" si="5"/>
        <v/>
      </c>
      <c r="W621" s="39" t="str">
        <f>IFERROR(__xludf.DUMMYFUNCTION(" IF(Account!$F621&lt;&gt;"""", SPLIT(Account!$F621, "" ""), """")"),"")</f>
        <v/>
      </c>
      <c r="X621" s="40"/>
      <c r="Y621" s="40"/>
      <c r="Z621" s="40"/>
      <c r="AA621" s="40"/>
      <c r="AB621" s="40"/>
      <c r="AC621" s="40"/>
      <c r="AD621" s="40"/>
      <c r="AE621" s="40"/>
      <c r="AF621" s="40"/>
      <c r="AG621" s="40"/>
      <c r="AH621" s="40"/>
      <c r="AI621" s="40"/>
      <c r="AJ621" s="40"/>
      <c r="AK621" s="40"/>
    </row>
    <row r="622">
      <c r="A622" s="300"/>
      <c r="B622" s="300"/>
      <c r="C622" s="300"/>
      <c r="D622" s="300"/>
      <c r="E622" s="300"/>
      <c r="F622" s="329"/>
      <c r="G622" s="300"/>
      <c r="H622" s="300"/>
      <c r="I622" s="300"/>
      <c r="J622" s="300"/>
      <c r="K622" s="300"/>
      <c r="L622" s="329"/>
      <c r="M622" s="29" t="str">
        <f t="shared" si="1"/>
        <v/>
      </c>
      <c r="N622" s="31" t="str">
        <f>IFERROR(__xludf.DUMMYFUNCTION("IF(Account!$F622&lt;&gt;"""", VALUE(REGEXREPLACE($I622, ""\,"", ""."")), """")"),"")</f>
        <v/>
      </c>
      <c r="O622" s="33" t="str">
        <f>IF(Account!$F622&lt;&gt;"", DATEVALUE(MID($A622,4,3) &amp; LEFT($A622,3) &amp; RIGHT($A622,4)) + TIMEVALUE($B622), "")</f>
        <v/>
      </c>
      <c r="P622" s="34" t="str">
        <f>IF(Account!$F622&lt;&gt;"", DATEVALUE(MID($C622,4,3) &amp; LEFT($C622,3) &amp; RIGHT($C622,4)), "")</f>
        <v/>
      </c>
      <c r="Q622" s="35" t="str">
        <f t="array" ref="Q622">IF($R622&lt;&gt;"",IFERROR(INDEX(Investment!$A:$A,MATCH($R622,Investment!$H:$H,0))),)</f>
        <v/>
      </c>
      <c r="R622" s="36" t="str">
        <f t="array" ref="R622">IF(AND($Y622="change",$H622="EUR"),IF(AND($AA622="Crédit",$O622=$O623),$R623,IF(AND($AA622="Débit",$O622=$O621),$R621)),IF(OR(AND(OR($E622&lt;&gt;"",$M622=""),$N622&lt;&gt;0),$A622=""),IFERROR(INDEX(Investment!$H:$H,MATCH($E622,Investment!$F:$F,0))),IFERROR(INDEX($R623:$R1119,MATCH(SUBSTITUTE($I622,"-","",1),$K623:$K1119,0)),INDEX($R623:$R1119,MATCH($K622,$K623:$K1119,0)))))</f>
        <v/>
      </c>
      <c r="S622" s="35" t="str">
        <f t="shared" si="2"/>
        <v/>
      </c>
      <c r="T622" s="37" t="str">
        <f t="shared" si="3"/>
        <v/>
      </c>
      <c r="U622" s="38" t="str">
        <f t="shared" si="4"/>
        <v/>
      </c>
      <c r="V622" s="31" t="str">
        <f t="shared" si="5"/>
        <v/>
      </c>
      <c r="W622" s="39" t="str">
        <f>IFERROR(__xludf.DUMMYFUNCTION(" IF(Account!$F622&lt;&gt;"""", SPLIT(Account!$F622, "" ""), """")"),"")</f>
        <v/>
      </c>
      <c r="X622" s="40"/>
      <c r="Y622" s="40"/>
      <c r="Z622" s="40"/>
      <c r="AA622" s="40"/>
      <c r="AB622" s="40"/>
      <c r="AC622" s="40"/>
      <c r="AD622" s="40"/>
      <c r="AE622" s="40"/>
      <c r="AF622" s="40"/>
      <c r="AG622" s="40"/>
      <c r="AH622" s="40"/>
      <c r="AI622" s="40"/>
      <c r="AJ622" s="40"/>
      <c r="AK622" s="40"/>
    </row>
    <row r="623">
      <c r="A623" s="300"/>
      <c r="B623" s="300"/>
      <c r="C623" s="300"/>
      <c r="D623" s="300"/>
      <c r="E623" s="300"/>
      <c r="F623" s="329"/>
      <c r="G623" s="300"/>
      <c r="H623" s="300"/>
      <c r="I623" s="300"/>
      <c r="J623" s="300"/>
      <c r="K623" s="300"/>
      <c r="L623" s="329"/>
      <c r="M623" s="29" t="str">
        <f t="shared" si="1"/>
        <v/>
      </c>
      <c r="N623" s="31" t="str">
        <f>IFERROR(__xludf.DUMMYFUNCTION("IF(Account!$F623&lt;&gt;"""", VALUE(REGEXREPLACE($I623, ""\,"", ""."")), """")"),"")</f>
        <v/>
      </c>
      <c r="O623" s="33" t="str">
        <f>IF(Account!$F623&lt;&gt;"", DATEVALUE(MID($A623,4,3) &amp; LEFT($A623,3) &amp; RIGHT($A623,4)) + TIMEVALUE($B623), "")</f>
        <v/>
      </c>
      <c r="P623" s="34" t="str">
        <f>IF(Account!$F623&lt;&gt;"", DATEVALUE(MID($C623,4,3) &amp; LEFT($C623,3) &amp; RIGHT($C623,4)), "")</f>
        <v/>
      </c>
      <c r="Q623" s="35" t="str">
        <f t="array" ref="Q623">IF($R623&lt;&gt;"",IFERROR(INDEX(Investment!$A:$A,MATCH($R623,Investment!$H:$H,0))),)</f>
        <v/>
      </c>
      <c r="R623" s="36" t="str">
        <f t="array" ref="R623">IF(AND($Y623="change",$H623="EUR"),IF(AND($AA623="Crédit",$O623=$O624),$R624,IF(AND($AA623="Débit",$O623=$O622),$R622)),IF(OR(AND(OR($E623&lt;&gt;"",$M623=""),$N623&lt;&gt;0),$A623=""),IFERROR(INDEX(Investment!$H:$H,MATCH($E623,Investment!$F:$F,0))),IFERROR(INDEX($R624:$R1119,MATCH(SUBSTITUTE($I623,"-","",1),$K624:$K1119,0)),INDEX($R624:$R1119,MATCH($K623,$K624:$K1119,0)))))</f>
        <v/>
      </c>
      <c r="S623" s="35" t="str">
        <f t="shared" si="2"/>
        <v/>
      </c>
      <c r="T623" s="37" t="str">
        <f t="shared" si="3"/>
        <v/>
      </c>
      <c r="U623" s="38" t="str">
        <f t="shared" si="4"/>
        <v/>
      </c>
      <c r="V623" s="31" t="str">
        <f t="shared" si="5"/>
        <v/>
      </c>
      <c r="W623" s="39" t="str">
        <f>IFERROR(__xludf.DUMMYFUNCTION(" IF(Account!$F623&lt;&gt;"""", SPLIT(Account!$F623, "" ""), """")"),"")</f>
        <v/>
      </c>
      <c r="X623" s="40"/>
      <c r="Y623" s="40"/>
      <c r="Z623" s="40"/>
      <c r="AA623" s="40"/>
      <c r="AB623" s="40"/>
      <c r="AC623" s="40"/>
      <c r="AD623" s="40"/>
      <c r="AE623" s="40"/>
      <c r="AF623" s="40"/>
      <c r="AG623" s="40"/>
      <c r="AH623" s="40"/>
      <c r="AI623" s="40"/>
      <c r="AJ623" s="40"/>
      <c r="AK623" s="40"/>
    </row>
    <row r="624">
      <c r="A624" s="300"/>
      <c r="B624" s="300"/>
      <c r="C624" s="300"/>
      <c r="D624" s="300"/>
      <c r="E624" s="300"/>
      <c r="F624" s="329"/>
      <c r="G624" s="300"/>
      <c r="H624" s="300"/>
      <c r="I624" s="300"/>
      <c r="J624" s="300"/>
      <c r="K624" s="300"/>
      <c r="L624" s="329"/>
      <c r="M624" s="29" t="str">
        <f t="shared" si="1"/>
        <v/>
      </c>
      <c r="N624" s="31" t="str">
        <f>IFERROR(__xludf.DUMMYFUNCTION("IF(Account!$F624&lt;&gt;"""", VALUE(REGEXREPLACE($I624, ""\,"", ""."")), """")"),"")</f>
        <v/>
      </c>
      <c r="O624" s="33" t="str">
        <f>IF(Account!$F624&lt;&gt;"", DATEVALUE(MID($A624,4,3) &amp; LEFT($A624,3) &amp; RIGHT($A624,4)) + TIMEVALUE($B624), "")</f>
        <v/>
      </c>
      <c r="P624" s="34" t="str">
        <f>IF(Account!$F624&lt;&gt;"", DATEVALUE(MID($C624,4,3) &amp; LEFT($C624,3) &amp; RIGHT($C624,4)), "")</f>
        <v/>
      </c>
      <c r="Q624" s="35" t="str">
        <f t="array" ref="Q624">IF($R624&lt;&gt;"",IFERROR(INDEX(Investment!$A:$A,MATCH($R624,Investment!$H:$H,0))),)</f>
        <v/>
      </c>
      <c r="R624" s="36" t="str">
        <f t="array" ref="R624">IF(AND($Y624="change",$H624="EUR"),IF(AND($AA624="Crédit",$O624=$O625),$R625,IF(AND($AA624="Débit",$O624=$O623),$R623)),IF(OR(AND(OR($E624&lt;&gt;"",$M624=""),$N624&lt;&gt;0),$A624=""),IFERROR(INDEX(Investment!$H:$H,MATCH($E624,Investment!$F:$F,0))),IFERROR(INDEX($R625:$R1119,MATCH(SUBSTITUTE($I624,"-","",1),$K625:$K1119,0)),INDEX($R625:$R1119,MATCH($K624,$K625:$K1119,0)))))</f>
        <v/>
      </c>
      <c r="S624" s="35" t="str">
        <f t="shared" si="2"/>
        <v/>
      </c>
      <c r="T624" s="37" t="str">
        <f t="shared" si="3"/>
        <v/>
      </c>
      <c r="U624" s="38" t="str">
        <f t="shared" si="4"/>
        <v/>
      </c>
      <c r="V624" s="31" t="str">
        <f t="shared" si="5"/>
        <v/>
      </c>
      <c r="W624" s="39" t="str">
        <f>IFERROR(__xludf.DUMMYFUNCTION(" IF(Account!$F624&lt;&gt;"""", SPLIT(Account!$F624, "" ""), """")"),"")</f>
        <v/>
      </c>
      <c r="X624" s="40"/>
      <c r="Y624" s="40"/>
      <c r="Z624" s="40"/>
      <c r="AA624" s="40"/>
      <c r="AB624" s="40"/>
      <c r="AC624" s="40"/>
      <c r="AD624" s="40"/>
      <c r="AE624" s="40"/>
      <c r="AF624" s="40"/>
      <c r="AG624" s="40"/>
      <c r="AH624" s="40"/>
      <c r="AI624" s="40"/>
      <c r="AJ624" s="40"/>
      <c r="AK624" s="40"/>
    </row>
    <row r="625">
      <c r="A625" s="300"/>
      <c r="B625" s="300"/>
      <c r="C625" s="300"/>
      <c r="D625" s="300"/>
      <c r="E625" s="300"/>
      <c r="F625" s="329"/>
      <c r="G625" s="300"/>
      <c r="H625" s="300"/>
      <c r="I625" s="300"/>
      <c r="J625" s="300"/>
      <c r="K625" s="300"/>
      <c r="L625" s="329"/>
      <c r="M625" s="29" t="str">
        <f t="shared" si="1"/>
        <v/>
      </c>
      <c r="N625" s="31" t="str">
        <f>IFERROR(__xludf.DUMMYFUNCTION("IF(Account!$F625&lt;&gt;"""", VALUE(REGEXREPLACE($I625, ""\,"", ""."")), """")"),"")</f>
        <v/>
      </c>
      <c r="O625" s="33" t="str">
        <f>IF(Account!$F625&lt;&gt;"", DATEVALUE(MID($A625,4,3) &amp; LEFT($A625,3) &amp; RIGHT($A625,4)) + TIMEVALUE($B625), "")</f>
        <v/>
      </c>
      <c r="P625" s="34" t="str">
        <f>IF(Account!$F625&lt;&gt;"", DATEVALUE(MID($C625,4,3) &amp; LEFT($C625,3) &amp; RIGHT($C625,4)), "")</f>
        <v/>
      </c>
      <c r="Q625" s="35" t="str">
        <f t="array" ref="Q625">IF($R625&lt;&gt;"",IFERROR(INDEX(Investment!$A:$A,MATCH($R625,Investment!$H:$H,0))),)</f>
        <v/>
      </c>
      <c r="R625" s="36" t="str">
        <f t="array" ref="R625">IF(AND($Y625="change",$H625="EUR"),IF(AND($AA625="Crédit",$O625=$O626),$R626,IF(AND($AA625="Débit",$O625=$O624),$R624)),IF(OR(AND(OR($E625&lt;&gt;"",$M625=""),$N625&lt;&gt;0),$A625=""),IFERROR(INDEX(Investment!$H:$H,MATCH($E625,Investment!$F:$F,0))),IFERROR(INDEX($R626:$R1119,MATCH(SUBSTITUTE($I625,"-","",1),$K626:$K1119,0)),INDEX($R626:$R1119,MATCH($K625,$K626:$K1119,0)))))</f>
        <v/>
      </c>
      <c r="S625" s="35" t="str">
        <f t="shared" si="2"/>
        <v/>
      </c>
      <c r="T625" s="37" t="str">
        <f t="shared" si="3"/>
        <v/>
      </c>
      <c r="U625" s="38" t="str">
        <f t="shared" si="4"/>
        <v/>
      </c>
      <c r="V625" s="31" t="str">
        <f t="shared" si="5"/>
        <v/>
      </c>
      <c r="W625" s="39" t="str">
        <f>IFERROR(__xludf.DUMMYFUNCTION(" IF(Account!$F625&lt;&gt;"""", SPLIT(Account!$F625, "" ""), """")"),"")</f>
        <v/>
      </c>
      <c r="X625" s="40"/>
      <c r="Y625" s="40"/>
      <c r="Z625" s="40"/>
      <c r="AA625" s="40"/>
      <c r="AB625" s="40"/>
      <c r="AC625" s="40"/>
      <c r="AD625" s="40"/>
      <c r="AE625" s="40"/>
      <c r="AF625" s="40"/>
      <c r="AG625" s="40"/>
      <c r="AH625" s="40"/>
      <c r="AI625" s="40"/>
      <c r="AJ625" s="40"/>
      <c r="AK625" s="40"/>
    </row>
    <row r="626">
      <c r="A626" s="300"/>
      <c r="B626" s="300"/>
      <c r="C626" s="300"/>
      <c r="D626" s="300"/>
      <c r="E626" s="300"/>
      <c r="F626" s="329"/>
      <c r="G626" s="300"/>
      <c r="H626" s="300"/>
      <c r="I626" s="300"/>
      <c r="J626" s="300"/>
      <c r="K626" s="300"/>
      <c r="L626" s="329"/>
      <c r="M626" s="29" t="str">
        <f t="shared" si="1"/>
        <v/>
      </c>
      <c r="N626" s="31" t="str">
        <f>IFERROR(__xludf.DUMMYFUNCTION("IF(Account!$F626&lt;&gt;"""", VALUE(REGEXREPLACE($I626, ""\,"", ""."")), """")"),"")</f>
        <v/>
      </c>
      <c r="O626" s="33" t="str">
        <f>IF(Account!$F626&lt;&gt;"", DATEVALUE(MID($A626,4,3) &amp; LEFT($A626,3) &amp; RIGHT($A626,4)) + TIMEVALUE($B626), "")</f>
        <v/>
      </c>
      <c r="P626" s="34" t="str">
        <f>IF(Account!$F626&lt;&gt;"", DATEVALUE(MID($C626,4,3) &amp; LEFT($C626,3) &amp; RIGHT($C626,4)), "")</f>
        <v/>
      </c>
      <c r="Q626" s="35" t="str">
        <f t="array" ref="Q626">IF($R626&lt;&gt;"",IFERROR(INDEX(Investment!$A:$A,MATCH($R626,Investment!$H:$H,0))),)</f>
        <v/>
      </c>
      <c r="R626" s="36" t="str">
        <f t="array" ref="R626">IF(AND($Y626="change",$H626="EUR"),IF(AND($AA626="Crédit",$O626=$O627),$R627,IF(AND($AA626="Débit",$O626=$O625),$R625)),IF(OR(AND(OR($E626&lt;&gt;"",$M626=""),$N626&lt;&gt;0),$A626=""),IFERROR(INDEX(Investment!$H:$H,MATCH($E626,Investment!$F:$F,0))),IFERROR(INDEX($R627:$R1119,MATCH(SUBSTITUTE($I626,"-","",1),$K627:$K1119,0)),INDEX($R627:$R1119,MATCH($K626,$K627:$K1119,0)))))</f>
        <v/>
      </c>
      <c r="S626" s="35" t="str">
        <f t="shared" si="2"/>
        <v/>
      </c>
      <c r="T626" s="37" t="str">
        <f t="shared" si="3"/>
        <v/>
      </c>
      <c r="U626" s="38" t="str">
        <f t="shared" si="4"/>
        <v/>
      </c>
      <c r="V626" s="31" t="str">
        <f t="shared" si="5"/>
        <v/>
      </c>
      <c r="W626" s="39" t="str">
        <f>IFERROR(__xludf.DUMMYFUNCTION(" IF(Account!$F626&lt;&gt;"""", SPLIT(Account!$F626, "" ""), """")"),"")</f>
        <v/>
      </c>
      <c r="X626" s="40"/>
      <c r="Y626" s="40"/>
      <c r="Z626" s="40"/>
      <c r="AA626" s="40"/>
      <c r="AB626" s="40"/>
      <c r="AC626" s="40"/>
      <c r="AD626" s="40"/>
      <c r="AE626" s="40"/>
      <c r="AF626" s="40"/>
      <c r="AG626" s="40"/>
      <c r="AH626" s="40"/>
      <c r="AI626" s="40"/>
      <c r="AJ626" s="40"/>
      <c r="AK626" s="40"/>
    </row>
    <row r="627">
      <c r="A627" s="300"/>
      <c r="B627" s="300"/>
      <c r="C627" s="300"/>
      <c r="D627" s="300"/>
      <c r="E627" s="300"/>
      <c r="F627" s="329"/>
      <c r="G627" s="300"/>
      <c r="H627" s="300"/>
      <c r="I627" s="300"/>
      <c r="J627" s="300"/>
      <c r="K627" s="300"/>
      <c r="L627" s="329"/>
      <c r="M627" s="29" t="str">
        <f t="shared" si="1"/>
        <v/>
      </c>
      <c r="N627" s="31" t="str">
        <f>IFERROR(__xludf.DUMMYFUNCTION("IF(Account!$F627&lt;&gt;"""", VALUE(REGEXREPLACE($I627, ""\,"", ""."")), """")"),"")</f>
        <v/>
      </c>
      <c r="O627" s="33" t="str">
        <f>IF(Account!$F627&lt;&gt;"", DATEVALUE(MID($A627,4,3) &amp; LEFT($A627,3) &amp; RIGHT($A627,4)) + TIMEVALUE($B627), "")</f>
        <v/>
      </c>
      <c r="P627" s="34" t="str">
        <f>IF(Account!$F627&lt;&gt;"", DATEVALUE(MID($C627,4,3) &amp; LEFT($C627,3) &amp; RIGHT($C627,4)), "")</f>
        <v/>
      </c>
      <c r="Q627" s="35" t="str">
        <f t="array" ref="Q627">IF($R627&lt;&gt;"",IFERROR(INDEX(Investment!$A:$A,MATCH($R627,Investment!$H:$H,0))),)</f>
        <v/>
      </c>
      <c r="R627" s="36" t="str">
        <f t="array" ref="R627">IF(AND($Y627="change",$H627="EUR"),IF(AND($AA627="Crédit",$O627=$O628),$R628,IF(AND($AA627="Débit",$O627=$O626),$R626)),IF(OR(AND(OR($E627&lt;&gt;"",$M627=""),$N627&lt;&gt;0),$A627=""),IFERROR(INDEX(Investment!$H:$H,MATCH($E627,Investment!$F:$F,0))),IFERROR(INDEX($R628:$R1119,MATCH(SUBSTITUTE($I627,"-","",1),$K628:$K1119,0)),INDEX($R628:$R1119,MATCH($K627,$K628:$K1119,0)))))</f>
        <v/>
      </c>
      <c r="S627" s="35" t="str">
        <f t="shared" si="2"/>
        <v/>
      </c>
      <c r="T627" s="37" t="str">
        <f t="shared" si="3"/>
        <v/>
      </c>
      <c r="U627" s="38" t="str">
        <f t="shared" si="4"/>
        <v/>
      </c>
      <c r="V627" s="31" t="str">
        <f t="shared" si="5"/>
        <v/>
      </c>
      <c r="W627" s="39" t="str">
        <f>IFERROR(__xludf.DUMMYFUNCTION(" IF(Account!$F627&lt;&gt;"""", SPLIT(Account!$F627, "" ""), """")"),"")</f>
        <v/>
      </c>
      <c r="X627" s="40"/>
      <c r="Y627" s="40"/>
      <c r="Z627" s="40"/>
      <c r="AA627" s="40"/>
      <c r="AB627" s="40"/>
      <c r="AC627" s="40"/>
      <c r="AD627" s="40"/>
      <c r="AE627" s="40"/>
      <c r="AF627" s="40"/>
      <c r="AG627" s="40"/>
      <c r="AH627" s="40"/>
      <c r="AI627" s="40"/>
      <c r="AJ627" s="40"/>
      <c r="AK627" s="40"/>
    </row>
    <row r="628">
      <c r="A628" s="300"/>
      <c r="B628" s="300"/>
      <c r="C628" s="300"/>
      <c r="D628" s="300"/>
      <c r="E628" s="300"/>
      <c r="F628" s="329"/>
      <c r="G628" s="300"/>
      <c r="H628" s="300"/>
      <c r="I628" s="300"/>
      <c r="J628" s="300"/>
      <c r="K628" s="300"/>
      <c r="L628" s="329"/>
      <c r="M628" s="29" t="str">
        <f t="shared" si="1"/>
        <v/>
      </c>
      <c r="N628" s="31" t="str">
        <f>IFERROR(__xludf.DUMMYFUNCTION("IF(Account!$F628&lt;&gt;"""", VALUE(REGEXREPLACE($I628, ""\,"", ""."")), """")"),"")</f>
        <v/>
      </c>
      <c r="O628" s="33" t="str">
        <f>IF(Account!$F628&lt;&gt;"", DATEVALUE(MID($A628,4,3) &amp; LEFT($A628,3) &amp; RIGHT($A628,4)) + TIMEVALUE($B628), "")</f>
        <v/>
      </c>
      <c r="P628" s="34" t="str">
        <f>IF(Account!$F628&lt;&gt;"", DATEVALUE(MID($C628,4,3) &amp; LEFT($C628,3) &amp; RIGHT($C628,4)), "")</f>
        <v/>
      </c>
      <c r="Q628" s="35" t="str">
        <f t="array" ref="Q628">IF($R628&lt;&gt;"",IFERROR(INDEX(Investment!$A:$A,MATCH($R628,Investment!$H:$H,0))),)</f>
        <v/>
      </c>
      <c r="R628" s="36" t="str">
        <f t="array" ref="R628">IF(AND($Y628="change",$H628="EUR"),IF(AND($AA628="Crédit",$O628=$O629),$R629,IF(AND($AA628="Débit",$O628=$O627),$R627)),IF(OR(AND(OR($E628&lt;&gt;"",$M628=""),$N628&lt;&gt;0),$A628=""),IFERROR(INDEX(Investment!$H:$H,MATCH($E628,Investment!$F:$F,0))),IFERROR(INDEX($R629:$R1119,MATCH(SUBSTITUTE($I628,"-","",1),$K629:$K1119,0)),INDEX($R629:$R1119,MATCH($K628,$K629:$K1119,0)))))</f>
        <v/>
      </c>
      <c r="S628" s="35" t="str">
        <f t="shared" si="2"/>
        <v/>
      </c>
      <c r="T628" s="37" t="str">
        <f t="shared" si="3"/>
        <v/>
      </c>
      <c r="U628" s="38" t="str">
        <f t="shared" si="4"/>
        <v/>
      </c>
      <c r="V628" s="31" t="str">
        <f t="shared" si="5"/>
        <v/>
      </c>
      <c r="W628" s="39" t="str">
        <f>IFERROR(__xludf.DUMMYFUNCTION(" IF(Account!$F628&lt;&gt;"""", SPLIT(Account!$F628, "" ""), """")"),"")</f>
        <v/>
      </c>
      <c r="X628" s="40"/>
      <c r="Y628" s="40"/>
      <c r="Z628" s="40"/>
      <c r="AA628" s="40"/>
      <c r="AB628" s="40"/>
      <c r="AC628" s="40"/>
      <c r="AD628" s="40"/>
      <c r="AE628" s="40"/>
      <c r="AF628" s="40"/>
      <c r="AG628" s="40"/>
      <c r="AH628" s="40"/>
      <c r="AI628" s="40"/>
      <c r="AJ628" s="40"/>
      <c r="AK628" s="40"/>
    </row>
    <row r="629">
      <c r="A629" s="300"/>
      <c r="B629" s="300"/>
      <c r="C629" s="300"/>
      <c r="D629" s="300"/>
      <c r="E629" s="300"/>
      <c r="F629" s="329"/>
      <c r="G629" s="300"/>
      <c r="H629" s="300"/>
      <c r="I629" s="300"/>
      <c r="J629" s="300"/>
      <c r="K629" s="300"/>
      <c r="L629" s="329"/>
      <c r="M629" s="29" t="str">
        <f t="shared" si="1"/>
        <v/>
      </c>
      <c r="N629" s="31" t="str">
        <f>IFERROR(__xludf.DUMMYFUNCTION("IF(Account!$F629&lt;&gt;"""", VALUE(REGEXREPLACE($I629, ""\,"", ""."")), """")"),"")</f>
        <v/>
      </c>
      <c r="O629" s="33" t="str">
        <f>IF(Account!$F629&lt;&gt;"", DATEVALUE(MID($A629,4,3) &amp; LEFT($A629,3) &amp; RIGHT($A629,4)) + TIMEVALUE($B629), "")</f>
        <v/>
      </c>
      <c r="P629" s="34" t="str">
        <f>IF(Account!$F629&lt;&gt;"", DATEVALUE(MID($C629,4,3) &amp; LEFT($C629,3) &amp; RIGHT($C629,4)), "")</f>
        <v/>
      </c>
      <c r="Q629" s="35" t="str">
        <f t="array" ref="Q629">IF($R629&lt;&gt;"",IFERROR(INDEX(Investment!$A:$A,MATCH($R629,Investment!$H:$H,0))),)</f>
        <v/>
      </c>
      <c r="R629" s="36" t="str">
        <f t="array" ref="R629">IF(AND($Y629="change",$H629="EUR"),IF(AND($AA629="Crédit",$O629=$O630),$R630,IF(AND($AA629="Débit",$O629=$O628),$R628)),IF(OR(AND(OR($E629&lt;&gt;"",$M629=""),$N629&lt;&gt;0),$A629=""),IFERROR(INDEX(Investment!$H:$H,MATCH($E629,Investment!$F:$F,0))),IFERROR(INDEX($R630:$R1119,MATCH(SUBSTITUTE($I629,"-","",1),$K630:$K1119,0)),INDEX($R630:$R1119,MATCH($K629,$K630:$K1119,0)))))</f>
        <v/>
      </c>
      <c r="S629" s="35" t="str">
        <f t="shared" si="2"/>
        <v/>
      </c>
      <c r="T629" s="37" t="str">
        <f t="shared" si="3"/>
        <v/>
      </c>
      <c r="U629" s="38" t="str">
        <f t="shared" si="4"/>
        <v/>
      </c>
      <c r="V629" s="31" t="str">
        <f t="shared" si="5"/>
        <v/>
      </c>
      <c r="W629" s="39" t="str">
        <f>IFERROR(__xludf.DUMMYFUNCTION(" IF(Account!$F629&lt;&gt;"""", SPLIT(Account!$F629, "" ""), """")"),"")</f>
        <v/>
      </c>
      <c r="X629" s="40"/>
      <c r="Y629" s="40"/>
      <c r="Z629" s="40"/>
      <c r="AA629" s="40"/>
      <c r="AB629" s="40"/>
      <c r="AC629" s="40"/>
      <c r="AD629" s="40"/>
      <c r="AE629" s="40"/>
      <c r="AF629" s="40"/>
      <c r="AG629" s="40"/>
      <c r="AH629" s="40"/>
      <c r="AI629" s="40"/>
      <c r="AJ629" s="40"/>
      <c r="AK629" s="40"/>
    </row>
    <row r="630">
      <c r="A630" s="300"/>
      <c r="B630" s="300"/>
      <c r="C630" s="300"/>
      <c r="D630" s="300"/>
      <c r="E630" s="300"/>
      <c r="F630" s="329"/>
      <c r="G630" s="300"/>
      <c r="H630" s="300"/>
      <c r="I630" s="300"/>
      <c r="J630" s="300"/>
      <c r="K630" s="300"/>
      <c r="L630" s="329"/>
      <c r="M630" s="29" t="str">
        <f t="shared" si="1"/>
        <v/>
      </c>
      <c r="N630" s="31" t="str">
        <f>IFERROR(__xludf.DUMMYFUNCTION("IF(Account!$F630&lt;&gt;"""", VALUE(REGEXREPLACE($I630, ""\,"", ""."")), """")"),"")</f>
        <v/>
      </c>
      <c r="O630" s="33" t="str">
        <f>IF(Account!$F630&lt;&gt;"", DATEVALUE(MID($A630,4,3) &amp; LEFT($A630,3) &amp; RIGHT($A630,4)) + TIMEVALUE($B630), "")</f>
        <v/>
      </c>
      <c r="P630" s="34" t="str">
        <f>IF(Account!$F630&lt;&gt;"", DATEVALUE(MID($C630,4,3) &amp; LEFT($C630,3) &amp; RIGHT($C630,4)), "")</f>
        <v/>
      </c>
      <c r="Q630" s="35" t="str">
        <f t="array" ref="Q630">IF($R630&lt;&gt;"",IFERROR(INDEX(Investment!$A:$A,MATCH($R630,Investment!$H:$H,0))),)</f>
        <v/>
      </c>
      <c r="R630" s="36" t="str">
        <f t="array" ref="R630">IF(AND($Y630="change",$H630="EUR"),IF(AND($AA630="Crédit",$O630=$O631),$R631,IF(AND($AA630="Débit",$O630=$O629),$R629)),IF(OR(AND(OR($E630&lt;&gt;"",$M630=""),$N630&lt;&gt;0),$A630=""),IFERROR(INDEX(Investment!$H:$H,MATCH($E630,Investment!$F:$F,0))),IFERROR(INDEX($R631:$R1119,MATCH(SUBSTITUTE($I630,"-","",1),$K631:$K1119,0)),INDEX($R631:$R1119,MATCH($K630,$K631:$K1119,0)))))</f>
        <v/>
      </c>
      <c r="S630" s="35" t="str">
        <f t="shared" si="2"/>
        <v/>
      </c>
      <c r="T630" s="37" t="str">
        <f t="shared" si="3"/>
        <v/>
      </c>
      <c r="U630" s="38" t="str">
        <f t="shared" si="4"/>
        <v/>
      </c>
      <c r="V630" s="31" t="str">
        <f t="shared" si="5"/>
        <v/>
      </c>
      <c r="W630" s="39" t="str">
        <f>IFERROR(__xludf.DUMMYFUNCTION(" IF(Account!$F630&lt;&gt;"""", SPLIT(Account!$F630, "" ""), """")"),"")</f>
        <v/>
      </c>
      <c r="X630" s="40"/>
      <c r="Y630" s="40"/>
      <c r="Z630" s="40"/>
      <c r="AA630" s="40"/>
      <c r="AB630" s="40"/>
      <c r="AC630" s="40"/>
      <c r="AD630" s="40"/>
      <c r="AE630" s="40"/>
      <c r="AF630" s="40"/>
      <c r="AG630" s="40"/>
      <c r="AH630" s="40"/>
      <c r="AI630" s="40"/>
      <c r="AJ630" s="40"/>
      <c r="AK630" s="40"/>
    </row>
    <row r="631">
      <c r="A631" s="300"/>
      <c r="B631" s="300"/>
      <c r="C631" s="300"/>
      <c r="D631" s="300"/>
      <c r="E631" s="300"/>
      <c r="F631" s="329"/>
      <c r="G631" s="300"/>
      <c r="H631" s="300"/>
      <c r="I631" s="300"/>
      <c r="J631" s="300"/>
      <c r="K631" s="300"/>
      <c r="L631" s="329"/>
      <c r="M631" s="29" t="str">
        <f t="shared" si="1"/>
        <v/>
      </c>
      <c r="N631" s="31" t="str">
        <f>IFERROR(__xludf.DUMMYFUNCTION("IF(Account!$F631&lt;&gt;"""", VALUE(REGEXREPLACE($I631, ""\,"", ""."")), """")"),"")</f>
        <v/>
      </c>
      <c r="O631" s="33" t="str">
        <f>IF(Account!$F631&lt;&gt;"", DATEVALUE(MID($A631,4,3) &amp; LEFT($A631,3) &amp; RIGHT($A631,4)) + TIMEVALUE($B631), "")</f>
        <v/>
      </c>
      <c r="P631" s="34" t="str">
        <f>IF(Account!$F631&lt;&gt;"", DATEVALUE(MID($C631,4,3) &amp; LEFT($C631,3) &amp; RIGHT($C631,4)), "")</f>
        <v/>
      </c>
      <c r="Q631" s="35" t="str">
        <f t="array" ref="Q631">IF($R631&lt;&gt;"",IFERROR(INDEX(Investment!$A:$A,MATCH($R631,Investment!$H:$H,0))),)</f>
        <v/>
      </c>
      <c r="R631" s="36" t="str">
        <f t="array" ref="R631">IF(AND($Y631="change",$H631="EUR"),IF(AND($AA631="Crédit",$O631=$O632),$R632,IF(AND($AA631="Débit",$O631=$O630),$R630)),IF(OR(AND(OR($E631&lt;&gt;"",$M631=""),$N631&lt;&gt;0),$A631=""),IFERROR(INDEX(Investment!$H:$H,MATCH($E631,Investment!$F:$F,0))),IFERROR(INDEX($R632:$R1119,MATCH(SUBSTITUTE($I631,"-","",1),$K632:$K1119,0)),INDEX($R632:$R1119,MATCH($K631,$K632:$K1119,0)))))</f>
        <v/>
      </c>
      <c r="S631" s="35" t="str">
        <f t="shared" si="2"/>
        <v/>
      </c>
      <c r="T631" s="37" t="str">
        <f t="shared" si="3"/>
        <v/>
      </c>
      <c r="U631" s="38" t="str">
        <f t="shared" si="4"/>
        <v/>
      </c>
      <c r="V631" s="31" t="str">
        <f t="shared" si="5"/>
        <v/>
      </c>
      <c r="W631" s="39" t="str">
        <f>IFERROR(__xludf.DUMMYFUNCTION(" IF(Account!$F631&lt;&gt;"""", SPLIT(Account!$F631, "" ""), """")"),"")</f>
        <v/>
      </c>
      <c r="X631" s="40"/>
      <c r="Y631" s="40"/>
      <c r="Z631" s="40"/>
      <c r="AA631" s="40"/>
      <c r="AB631" s="40"/>
      <c r="AC631" s="40"/>
      <c r="AD631" s="40"/>
      <c r="AE631" s="40"/>
      <c r="AF631" s="40"/>
      <c r="AG631" s="40"/>
      <c r="AH631" s="40"/>
      <c r="AI631" s="40"/>
      <c r="AJ631" s="40"/>
      <c r="AK631" s="40"/>
    </row>
    <row r="632">
      <c r="A632" s="300"/>
      <c r="B632" s="300"/>
      <c r="C632" s="300"/>
      <c r="D632" s="300"/>
      <c r="E632" s="300"/>
      <c r="F632" s="329"/>
      <c r="G632" s="300"/>
      <c r="H632" s="300"/>
      <c r="I632" s="300"/>
      <c r="J632" s="300"/>
      <c r="K632" s="300"/>
      <c r="L632" s="329"/>
      <c r="M632" s="29" t="str">
        <f t="shared" si="1"/>
        <v/>
      </c>
      <c r="N632" s="31" t="str">
        <f>IFERROR(__xludf.DUMMYFUNCTION("IF(Account!$F632&lt;&gt;"""", VALUE(REGEXREPLACE($I632, ""\,"", ""."")), """")"),"")</f>
        <v/>
      </c>
      <c r="O632" s="33" t="str">
        <f>IF(Account!$F632&lt;&gt;"", DATEVALUE(MID($A632,4,3) &amp; LEFT($A632,3) &amp; RIGHT($A632,4)) + TIMEVALUE($B632), "")</f>
        <v/>
      </c>
      <c r="P632" s="34" t="str">
        <f>IF(Account!$F632&lt;&gt;"", DATEVALUE(MID($C632,4,3) &amp; LEFT($C632,3) &amp; RIGHT($C632,4)), "")</f>
        <v/>
      </c>
      <c r="Q632" s="35" t="str">
        <f t="array" ref="Q632">IF($R632&lt;&gt;"",IFERROR(INDEX(Investment!$A:$A,MATCH($R632,Investment!$H:$H,0))),)</f>
        <v/>
      </c>
      <c r="R632" s="36" t="str">
        <f t="array" ref="R632">IF(AND($Y632="change",$H632="EUR"),IF(AND($AA632="Crédit",$O632=$O633),$R633,IF(AND($AA632="Débit",$O632=$O631),$R631)),IF(OR(AND(OR($E632&lt;&gt;"",$M632=""),$N632&lt;&gt;0),$A632=""),IFERROR(INDEX(Investment!$H:$H,MATCH($E632,Investment!$F:$F,0))),IFERROR(INDEX($R633:$R1119,MATCH(SUBSTITUTE($I632,"-","",1),$K633:$K1119,0)),INDEX($R633:$R1119,MATCH($K632,$K633:$K1119,0)))))</f>
        <v/>
      </c>
      <c r="S632" s="35" t="str">
        <f t="shared" si="2"/>
        <v/>
      </c>
      <c r="T632" s="37" t="str">
        <f t="shared" si="3"/>
        <v/>
      </c>
      <c r="U632" s="38" t="str">
        <f t="shared" si="4"/>
        <v/>
      </c>
      <c r="V632" s="31" t="str">
        <f t="shared" si="5"/>
        <v/>
      </c>
      <c r="W632" s="39" t="str">
        <f>IFERROR(__xludf.DUMMYFUNCTION(" IF(Account!$F632&lt;&gt;"""", SPLIT(Account!$F632, "" ""), """")"),"")</f>
        <v/>
      </c>
      <c r="X632" s="40"/>
      <c r="Y632" s="40"/>
      <c r="Z632" s="40"/>
      <c r="AA632" s="40"/>
      <c r="AB632" s="40"/>
      <c r="AC632" s="40"/>
      <c r="AD632" s="40"/>
      <c r="AE632" s="40"/>
      <c r="AF632" s="40"/>
      <c r="AG632" s="40"/>
      <c r="AH632" s="40"/>
      <c r="AI632" s="40"/>
      <c r="AJ632" s="40"/>
      <c r="AK632" s="40"/>
    </row>
    <row r="633">
      <c r="A633" s="300"/>
      <c r="B633" s="300"/>
      <c r="C633" s="300"/>
      <c r="D633" s="300"/>
      <c r="E633" s="300"/>
      <c r="F633" s="329"/>
      <c r="G633" s="300"/>
      <c r="H633" s="300"/>
      <c r="I633" s="300"/>
      <c r="J633" s="300"/>
      <c r="K633" s="300"/>
      <c r="L633" s="329"/>
      <c r="M633" s="29" t="str">
        <f t="shared" si="1"/>
        <v/>
      </c>
      <c r="N633" s="31" t="str">
        <f>IFERROR(__xludf.DUMMYFUNCTION("IF(Account!$F633&lt;&gt;"""", VALUE(REGEXREPLACE($I633, ""\,"", ""."")), """")"),"")</f>
        <v/>
      </c>
      <c r="O633" s="33" t="str">
        <f>IF(Account!$F633&lt;&gt;"", DATEVALUE(MID($A633,4,3) &amp; LEFT($A633,3) &amp; RIGHT($A633,4)) + TIMEVALUE($B633), "")</f>
        <v/>
      </c>
      <c r="P633" s="34" t="str">
        <f>IF(Account!$F633&lt;&gt;"", DATEVALUE(MID($C633,4,3) &amp; LEFT($C633,3) &amp; RIGHT($C633,4)), "")</f>
        <v/>
      </c>
      <c r="Q633" s="35" t="str">
        <f t="array" ref="Q633">IF($R633&lt;&gt;"",IFERROR(INDEX(Investment!$A:$A,MATCH($R633,Investment!$H:$H,0))),)</f>
        <v/>
      </c>
      <c r="R633" s="36" t="str">
        <f t="array" ref="R633">IF(AND($Y633="change",$H633="EUR"),IF(AND($AA633="Crédit",$O633=$O634),$R634,IF(AND($AA633="Débit",$O633=$O632),$R632)),IF(OR(AND(OR($E633&lt;&gt;"",$M633=""),$N633&lt;&gt;0),$A633=""),IFERROR(INDEX(Investment!$H:$H,MATCH($E633,Investment!$F:$F,0))),IFERROR(INDEX($R634:$R1119,MATCH(SUBSTITUTE($I633,"-","",1),$K634:$K1119,0)),INDEX($R634:$R1119,MATCH($K633,$K634:$K1119,0)))))</f>
        <v/>
      </c>
      <c r="S633" s="35" t="str">
        <f t="shared" si="2"/>
        <v/>
      </c>
      <c r="T633" s="37" t="str">
        <f t="shared" si="3"/>
        <v/>
      </c>
      <c r="U633" s="38" t="str">
        <f t="shared" si="4"/>
        <v/>
      </c>
      <c r="V633" s="31" t="str">
        <f t="shared" si="5"/>
        <v/>
      </c>
      <c r="W633" s="39" t="str">
        <f>IFERROR(__xludf.DUMMYFUNCTION(" IF(Account!$F633&lt;&gt;"""", SPLIT(Account!$F633, "" ""), """")"),"")</f>
        <v/>
      </c>
      <c r="X633" s="40"/>
      <c r="Y633" s="40"/>
      <c r="Z633" s="40"/>
      <c r="AA633" s="40"/>
      <c r="AB633" s="40"/>
      <c r="AC633" s="40"/>
      <c r="AD633" s="40"/>
      <c r="AE633" s="40"/>
      <c r="AF633" s="40"/>
      <c r="AG633" s="40"/>
      <c r="AH633" s="40"/>
      <c r="AI633" s="40"/>
      <c r="AJ633" s="40"/>
      <c r="AK633" s="40"/>
    </row>
    <row r="634">
      <c r="A634" s="300"/>
      <c r="B634" s="300"/>
      <c r="C634" s="300"/>
      <c r="D634" s="300"/>
      <c r="E634" s="300"/>
      <c r="F634" s="329"/>
      <c r="G634" s="300"/>
      <c r="H634" s="300"/>
      <c r="I634" s="300"/>
      <c r="J634" s="300"/>
      <c r="K634" s="300"/>
      <c r="L634" s="329"/>
      <c r="M634" s="29" t="str">
        <f t="shared" si="1"/>
        <v/>
      </c>
      <c r="N634" s="31" t="str">
        <f>IFERROR(__xludf.DUMMYFUNCTION("IF(Account!$F634&lt;&gt;"""", VALUE(REGEXREPLACE($I634, ""\,"", ""."")), """")"),"")</f>
        <v/>
      </c>
      <c r="O634" s="33" t="str">
        <f>IF(Account!$F634&lt;&gt;"", DATEVALUE(MID($A634,4,3) &amp; LEFT($A634,3) &amp; RIGHT($A634,4)) + TIMEVALUE($B634), "")</f>
        <v/>
      </c>
      <c r="P634" s="34" t="str">
        <f>IF(Account!$F634&lt;&gt;"", DATEVALUE(MID($C634,4,3) &amp; LEFT($C634,3) &amp; RIGHT($C634,4)), "")</f>
        <v/>
      </c>
      <c r="Q634" s="35" t="str">
        <f t="array" ref="Q634">IF($R634&lt;&gt;"",IFERROR(INDEX(Investment!$A:$A,MATCH($R634,Investment!$H:$H,0))),)</f>
        <v/>
      </c>
      <c r="R634" s="36" t="str">
        <f t="array" ref="R634">IF(AND($Y634="change",$H634="EUR"),IF(AND($AA634="Crédit",$O634=$O635),$R635,IF(AND($AA634="Débit",$O634=$O633),$R633)),IF(OR(AND(OR($E634&lt;&gt;"",$M634=""),$N634&lt;&gt;0),$A634=""),IFERROR(INDEX(Investment!$H:$H,MATCH($E634,Investment!$F:$F,0))),IFERROR(INDEX($R635:$R1119,MATCH(SUBSTITUTE($I634,"-","",1),$K635:$K1119,0)),INDEX($R635:$R1119,MATCH($K634,$K635:$K1119,0)))))</f>
        <v/>
      </c>
      <c r="S634" s="35" t="str">
        <f t="shared" si="2"/>
        <v/>
      </c>
      <c r="T634" s="37" t="str">
        <f t="shared" si="3"/>
        <v/>
      </c>
      <c r="U634" s="38" t="str">
        <f t="shared" si="4"/>
        <v/>
      </c>
      <c r="V634" s="31" t="str">
        <f t="shared" si="5"/>
        <v/>
      </c>
      <c r="W634" s="39" t="str">
        <f>IFERROR(__xludf.DUMMYFUNCTION(" IF(Account!$F634&lt;&gt;"""", SPLIT(Account!$F634, "" ""), """")"),"")</f>
        <v/>
      </c>
      <c r="X634" s="40"/>
      <c r="Y634" s="40"/>
      <c r="Z634" s="40"/>
      <c r="AA634" s="40"/>
      <c r="AB634" s="40"/>
      <c r="AC634" s="40"/>
      <c r="AD634" s="40"/>
      <c r="AE634" s="40"/>
      <c r="AF634" s="40"/>
      <c r="AG634" s="40"/>
      <c r="AH634" s="40"/>
      <c r="AI634" s="40"/>
      <c r="AJ634" s="40"/>
      <c r="AK634" s="40"/>
    </row>
    <row r="635">
      <c r="A635" s="300"/>
      <c r="B635" s="300"/>
      <c r="C635" s="300"/>
      <c r="D635" s="300"/>
      <c r="E635" s="300"/>
      <c r="F635" s="329"/>
      <c r="G635" s="300"/>
      <c r="H635" s="300"/>
      <c r="I635" s="300"/>
      <c r="J635" s="300"/>
      <c r="K635" s="300"/>
      <c r="L635" s="329"/>
      <c r="M635" s="29" t="str">
        <f t="shared" si="1"/>
        <v/>
      </c>
      <c r="N635" s="31" t="str">
        <f>IFERROR(__xludf.DUMMYFUNCTION("IF(Account!$F635&lt;&gt;"""", VALUE(REGEXREPLACE($I635, ""\,"", ""."")), """")"),"")</f>
        <v/>
      </c>
      <c r="O635" s="33" t="str">
        <f>IF(Account!$F635&lt;&gt;"", DATEVALUE(MID($A635,4,3) &amp; LEFT($A635,3) &amp; RIGHT($A635,4)) + TIMEVALUE($B635), "")</f>
        <v/>
      </c>
      <c r="P635" s="34" t="str">
        <f>IF(Account!$F635&lt;&gt;"", DATEVALUE(MID($C635,4,3) &amp; LEFT($C635,3) &amp; RIGHT($C635,4)), "")</f>
        <v/>
      </c>
      <c r="Q635" s="35" t="str">
        <f t="array" ref="Q635">IF($R635&lt;&gt;"",IFERROR(INDEX(Investment!$A:$A,MATCH($R635,Investment!$H:$H,0))),)</f>
        <v/>
      </c>
      <c r="R635" s="36" t="str">
        <f t="array" ref="R635">IF(AND($Y635="change",$H635="EUR"),IF(AND($AA635="Crédit",$O635=$O636),$R636,IF(AND($AA635="Débit",$O635=$O634),$R634)),IF(OR(AND(OR($E635&lt;&gt;"",$M635=""),$N635&lt;&gt;0),$A635=""),IFERROR(INDEX(Investment!$H:$H,MATCH($E635,Investment!$F:$F,0))),IFERROR(INDEX($R636:$R1119,MATCH(SUBSTITUTE($I635,"-","",1),$K636:$K1119,0)),INDEX($R636:$R1119,MATCH($K635,$K636:$K1119,0)))))</f>
        <v/>
      </c>
      <c r="S635" s="35" t="str">
        <f t="shared" si="2"/>
        <v/>
      </c>
      <c r="T635" s="37" t="str">
        <f t="shared" si="3"/>
        <v/>
      </c>
      <c r="U635" s="38" t="str">
        <f t="shared" si="4"/>
        <v/>
      </c>
      <c r="V635" s="31" t="str">
        <f t="shared" si="5"/>
        <v/>
      </c>
      <c r="W635" s="39" t="str">
        <f>IFERROR(__xludf.DUMMYFUNCTION(" IF(Account!$F635&lt;&gt;"""", SPLIT(Account!$F635, "" ""), """")"),"")</f>
        <v/>
      </c>
      <c r="X635" s="40"/>
      <c r="Y635" s="40"/>
      <c r="Z635" s="40"/>
      <c r="AA635" s="40"/>
      <c r="AB635" s="40"/>
      <c r="AC635" s="40"/>
      <c r="AD635" s="40"/>
      <c r="AE635" s="40"/>
      <c r="AF635" s="40"/>
      <c r="AG635" s="40"/>
      <c r="AH635" s="40"/>
      <c r="AI635" s="40"/>
      <c r="AJ635" s="40"/>
      <c r="AK635" s="40"/>
    </row>
    <row r="636">
      <c r="A636" s="300"/>
      <c r="B636" s="300"/>
      <c r="C636" s="300"/>
      <c r="D636" s="300"/>
      <c r="E636" s="300"/>
      <c r="F636" s="329"/>
      <c r="G636" s="300"/>
      <c r="H636" s="300"/>
      <c r="I636" s="300"/>
      <c r="J636" s="300"/>
      <c r="K636" s="300"/>
      <c r="L636" s="329"/>
      <c r="M636" s="29" t="str">
        <f t="shared" si="1"/>
        <v/>
      </c>
      <c r="N636" s="31" t="str">
        <f>IFERROR(__xludf.DUMMYFUNCTION("IF(Account!$F636&lt;&gt;"""", VALUE(REGEXREPLACE($I636, ""\,"", ""."")), """")"),"")</f>
        <v/>
      </c>
      <c r="O636" s="33" t="str">
        <f>IF(Account!$F636&lt;&gt;"", DATEVALUE(MID($A636,4,3) &amp; LEFT($A636,3) &amp; RIGHT($A636,4)) + TIMEVALUE($B636), "")</f>
        <v/>
      </c>
      <c r="P636" s="34" t="str">
        <f>IF(Account!$F636&lt;&gt;"", DATEVALUE(MID($C636,4,3) &amp; LEFT($C636,3) &amp; RIGHT($C636,4)), "")</f>
        <v/>
      </c>
      <c r="Q636" s="35" t="str">
        <f t="array" ref="Q636">IF($R636&lt;&gt;"",IFERROR(INDEX(Investment!$A:$A,MATCH($R636,Investment!$H:$H,0))),)</f>
        <v/>
      </c>
      <c r="R636" s="36" t="str">
        <f t="array" ref="R636">IF(AND($Y636="change",$H636="EUR"),IF(AND($AA636="Crédit",$O636=$O637),$R637,IF(AND($AA636="Débit",$O636=$O635),$R635)),IF(OR(AND(OR($E636&lt;&gt;"",$M636=""),$N636&lt;&gt;0),$A636=""),IFERROR(INDEX(Investment!$H:$H,MATCH($E636,Investment!$F:$F,0))),IFERROR(INDEX($R637:$R1119,MATCH(SUBSTITUTE($I636,"-","",1),$K637:$K1119,0)),INDEX($R637:$R1119,MATCH($K636,$K637:$K1119,0)))))</f>
        <v/>
      </c>
      <c r="S636" s="35" t="str">
        <f t="shared" si="2"/>
        <v/>
      </c>
      <c r="T636" s="37" t="str">
        <f t="shared" si="3"/>
        <v/>
      </c>
      <c r="U636" s="38" t="str">
        <f t="shared" si="4"/>
        <v/>
      </c>
      <c r="V636" s="31" t="str">
        <f t="shared" si="5"/>
        <v/>
      </c>
      <c r="W636" s="39" t="str">
        <f>IFERROR(__xludf.DUMMYFUNCTION(" IF(Account!$F636&lt;&gt;"""", SPLIT(Account!$F636, "" ""), """")"),"")</f>
        <v/>
      </c>
      <c r="X636" s="40"/>
      <c r="Y636" s="40"/>
      <c r="Z636" s="40"/>
      <c r="AA636" s="40"/>
      <c r="AB636" s="40"/>
      <c r="AC636" s="40"/>
      <c r="AD636" s="40"/>
      <c r="AE636" s="40"/>
      <c r="AF636" s="40"/>
      <c r="AG636" s="40"/>
      <c r="AH636" s="40"/>
      <c r="AI636" s="40"/>
      <c r="AJ636" s="40"/>
      <c r="AK636" s="40"/>
    </row>
    <row r="637">
      <c r="A637" s="300"/>
      <c r="B637" s="300"/>
      <c r="C637" s="300"/>
      <c r="D637" s="300"/>
      <c r="E637" s="300"/>
      <c r="F637" s="329"/>
      <c r="G637" s="300"/>
      <c r="H637" s="300"/>
      <c r="I637" s="300"/>
      <c r="J637" s="300"/>
      <c r="K637" s="300"/>
      <c r="L637" s="329"/>
      <c r="M637" s="29" t="str">
        <f t="shared" si="1"/>
        <v/>
      </c>
      <c r="N637" s="31" t="str">
        <f>IFERROR(__xludf.DUMMYFUNCTION("IF(Account!$F637&lt;&gt;"""", VALUE(REGEXREPLACE($I637, ""\,"", ""."")), """")"),"")</f>
        <v/>
      </c>
      <c r="O637" s="33" t="str">
        <f>IF(Account!$F637&lt;&gt;"", DATEVALUE(MID($A637,4,3) &amp; LEFT($A637,3) &amp; RIGHT($A637,4)) + TIMEVALUE($B637), "")</f>
        <v/>
      </c>
      <c r="P637" s="34" t="str">
        <f>IF(Account!$F637&lt;&gt;"", DATEVALUE(MID($C637,4,3) &amp; LEFT($C637,3) &amp; RIGHT($C637,4)), "")</f>
        <v/>
      </c>
      <c r="Q637" s="35" t="str">
        <f t="array" ref="Q637">IF($R637&lt;&gt;"",IFERROR(INDEX(Investment!$A:$A,MATCH($R637,Investment!$H:$H,0))),)</f>
        <v/>
      </c>
      <c r="R637" s="36" t="str">
        <f t="array" ref="R637">IF(AND($Y637="change",$H637="EUR"),IF(AND($AA637="Crédit",$O637=$O638),$R638,IF(AND($AA637="Débit",$O637=$O636),$R636)),IF(OR(AND(OR($E637&lt;&gt;"",$M637=""),$N637&lt;&gt;0),$A637=""),IFERROR(INDEX(Investment!$H:$H,MATCH($E637,Investment!$F:$F,0))),IFERROR(INDEX($R638:$R1119,MATCH(SUBSTITUTE($I637,"-","",1),$K638:$K1119,0)),INDEX($R638:$R1119,MATCH($K637,$K638:$K1119,0)))))</f>
        <v/>
      </c>
      <c r="S637" s="35" t="str">
        <f t="shared" si="2"/>
        <v/>
      </c>
      <c r="T637" s="37" t="str">
        <f t="shared" si="3"/>
        <v/>
      </c>
      <c r="U637" s="38" t="str">
        <f t="shared" si="4"/>
        <v/>
      </c>
      <c r="V637" s="31" t="str">
        <f t="shared" si="5"/>
        <v/>
      </c>
      <c r="W637" s="39" t="str">
        <f>IFERROR(__xludf.DUMMYFUNCTION(" IF(Account!$F637&lt;&gt;"""", SPLIT(Account!$F637, "" ""), """")"),"")</f>
        <v/>
      </c>
      <c r="X637" s="40"/>
      <c r="Y637" s="40"/>
      <c r="Z637" s="40"/>
      <c r="AA637" s="40"/>
      <c r="AB637" s="40"/>
      <c r="AC637" s="40"/>
      <c r="AD637" s="40"/>
      <c r="AE637" s="40"/>
      <c r="AF637" s="40"/>
      <c r="AG637" s="40"/>
      <c r="AH637" s="40"/>
      <c r="AI637" s="40"/>
      <c r="AJ637" s="40"/>
      <c r="AK637" s="40"/>
    </row>
    <row r="638">
      <c r="A638" s="300"/>
      <c r="B638" s="300"/>
      <c r="C638" s="300"/>
      <c r="D638" s="300"/>
      <c r="E638" s="300"/>
      <c r="F638" s="329"/>
      <c r="G638" s="300"/>
      <c r="H638" s="300"/>
      <c r="I638" s="300"/>
      <c r="J638" s="300"/>
      <c r="K638" s="300"/>
      <c r="L638" s="329"/>
      <c r="M638" s="29" t="str">
        <f t="shared" si="1"/>
        <v/>
      </c>
      <c r="N638" s="31" t="str">
        <f>IFERROR(__xludf.DUMMYFUNCTION("IF(Account!$F638&lt;&gt;"""", VALUE(REGEXREPLACE($I638, ""\,"", ""."")), """")"),"")</f>
        <v/>
      </c>
      <c r="O638" s="33" t="str">
        <f>IF(Account!$F638&lt;&gt;"", DATEVALUE(MID($A638,4,3) &amp; LEFT($A638,3) &amp; RIGHT($A638,4)) + TIMEVALUE($B638), "")</f>
        <v/>
      </c>
      <c r="P638" s="34" t="str">
        <f>IF(Account!$F638&lt;&gt;"", DATEVALUE(MID($C638,4,3) &amp; LEFT($C638,3) &amp; RIGHT($C638,4)), "")</f>
        <v/>
      </c>
      <c r="Q638" s="35" t="str">
        <f t="array" ref="Q638">IF($R638&lt;&gt;"",IFERROR(INDEX(Investment!$A:$A,MATCH($R638,Investment!$H:$H,0))),)</f>
        <v/>
      </c>
      <c r="R638" s="36" t="str">
        <f t="array" ref="R638">IF(AND($Y638="change",$H638="EUR"),IF(AND($AA638="Crédit",$O638=$O639),$R639,IF(AND($AA638="Débit",$O638=$O637),$R637)),IF(OR(AND(OR($E638&lt;&gt;"",$M638=""),$N638&lt;&gt;0),$A638=""),IFERROR(INDEX(Investment!$H:$H,MATCH($E638,Investment!$F:$F,0))),IFERROR(INDEX($R639:$R1119,MATCH(SUBSTITUTE($I638,"-","",1),$K639:$K1119,0)),INDEX($R639:$R1119,MATCH($K638,$K639:$K1119,0)))))</f>
        <v/>
      </c>
      <c r="S638" s="35" t="str">
        <f t="shared" si="2"/>
        <v/>
      </c>
      <c r="T638" s="37" t="str">
        <f t="shared" si="3"/>
        <v/>
      </c>
      <c r="U638" s="38" t="str">
        <f t="shared" si="4"/>
        <v/>
      </c>
      <c r="V638" s="31" t="str">
        <f t="shared" si="5"/>
        <v/>
      </c>
      <c r="W638" s="39" t="str">
        <f>IFERROR(__xludf.DUMMYFUNCTION(" IF(Account!$F638&lt;&gt;"""", SPLIT(Account!$F638, "" ""), """")"),"")</f>
        <v/>
      </c>
      <c r="X638" s="40"/>
      <c r="Y638" s="40"/>
      <c r="Z638" s="40"/>
      <c r="AA638" s="40"/>
      <c r="AB638" s="40"/>
      <c r="AC638" s="40"/>
      <c r="AD638" s="40"/>
      <c r="AE638" s="40"/>
      <c r="AF638" s="40"/>
      <c r="AG638" s="40"/>
      <c r="AH638" s="40"/>
      <c r="AI638" s="40"/>
      <c r="AJ638" s="40"/>
      <c r="AK638" s="40"/>
    </row>
    <row r="639">
      <c r="A639" s="300"/>
      <c r="B639" s="300"/>
      <c r="C639" s="300"/>
      <c r="D639" s="300"/>
      <c r="E639" s="300"/>
      <c r="F639" s="329"/>
      <c r="G639" s="300"/>
      <c r="H639" s="300"/>
      <c r="I639" s="300"/>
      <c r="J639" s="300"/>
      <c r="K639" s="300"/>
      <c r="L639" s="329"/>
      <c r="M639" s="29" t="str">
        <f t="shared" si="1"/>
        <v/>
      </c>
      <c r="N639" s="31" t="str">
        <f>IFERROR(__xludf.DUMMYFUNCTION("IF(Account!$F639&lt;&gt;"""", VALUE(REGEXREPLACE($I639, ""\,"", ""."")), """")"),"")</f>
        <v/>
      </c>
      <c r="O639" s="33" t="str">
        <f>IF(Account!$F639&lt;&gt;"", DATEVALUE(MID($A639,4,3) &amp; LEFT($A639,3) &amp; RIGHT($A639,4)) + TIMEVALUE($B639), "")</f>
        <v/>
      </c>
      <c r="P639" s="34" t="str">
        <f>IF(Account!$F639&lt;&gt;"", DATEVALUE(MID($C639,4,3) &amp; LEFT($C639,3) &amp; RIGHT($C639,4)), "")</f>
        <v/>
      </c>
      <c r="Q639" s="35" t="str">
        <f t="array" ref="Q639">IF($R639&lt;&gt;"",IFERROR(INDEX(Investment!$A:$A,MATCH($R639,Investment!$H:$H,0))),)</f>
        <v/>
      </c>
      <c r="R639" s="36" t="str">
        <f t="array" ref="R639">IF(AND($Y639="change",$H639="EUR"),IF(AND($AA639="Crédit",$O639=$O640),$R640,IF(AND($AA639="Débit",$O639=$O638),$R638)),IF(OR(AND(OR($E639&lt;&gt;"",$M639=""),$N639&lt;&gt;0),$A639=""),IFERROR(INDEX(Investment!$H:$H,MATCH($E639,Investment!$F:$F,0))),IFERROR(INDEX($R640:$R1119,MATCH(SUBSTITUTE($I639,"-","",1),$K640:$K1119,0)),INDEX($R640:$R1119,MATCH($K639,$K640:$K1119,0)))))</f>
        <v/>
      </c>
      <c r="S639" s="35" t="str">
        <f t="shared" si="2"/>
        <v/>
      </c>
      <c r="T639" s="37" t="str">
        <f t="shared" si="3"/>
        <v/>
      </c>
      <c r="U639" s="38" t="str">
        <f t="shared" si="4"/>
        <v/>
      </c>
      <c r="V639" s="31" t="str">
        <f t="shared" si="5"/>
        <v/>
      </c>
      <c r="W639" s="39" t="str">
        <f>IFERROR(__xludf.DUMMYFUNCTION(" IF(Account!$F639&lt;&gt;"""", SPLIT(Account!$F639, "" ""), """")"),"")</f>
        <v/>
      </c>
      <c r="X639" s="40"/>
      <c r="Y639" s="40"/>
      <c r="Z639" s="40"/>
      <c r="AA639" s="40"/>
      <c r="AB639" s="40"/>
      <c r="AC639" s="40"/>
      <c r="AD639" s="40"/>
      <c r="AE639" s="40"/>
      <c r="AF639" s="40"/>
      <c r="AG639" s="40"/>
      <c r="AH639" s="40"/>
      <c r="AI639" s="40"/>
      <c r="AJ639" s="40"/>
      <c r="AK639" s="40"/>
    </row>
    <row r="640">
      <c r="A640" s="300"/>
      <c r="B640" s="300"/>
      <c r="C640" s="300"/>
      <c r="D640" s="300"/>
      <c r="E640" s="300"/>
      <c r="F640" s="329"/>
      <c r="G640" s="300"/>
      <c r="H640" s="300"/>
      <c r="I640" s="300"/>
      <c r="J640" s="300"/>
      <c r="K640" s="300"/>
      <c r="L640" s="329"/>
      <c r="M640" s="29" t="str">
        <f t="shared" si="1"/>
        <v/>
      </c>
      <c r="N640" s="31" t="str">
        <f>IFERROR(__xludf.DUMMYFUNCTION("IF(Account!$F640&lt;&gt;"""", VALUE(REGEXREPLACE($I640, ""\,"", ""."")), """")"),"")</f>
        <v/>
      </c>
      <c r="O640" s="33" t="str">
        <f>IF(Account!$F640&lt;&gt;"", DATEVALUE(MID($A640,4,3) &amp; LEFT($A640,3) &amp; RIGHT($A640,4)) + TIMEVALUE($B640), "")</f>
        <v/>
      </c>
      <c r="P640" s="34" t="str">
        <f>IF(Account!$F640&lt;&gt;"", DATEVALUE(MID($C640,4,3) &amp; LEFT($C640,3) &amp; RIGHT($C640,4)), "")</f>
        <v/>
      </c>
      <c r="Q640" s="35" t="str">
        <f t="array" ref="Q640">IF($R640&lt;&gt;"",IFERROR(INDEX(Investment!$A:$A,MATCH($R640,Investment!$H:$H,0))),)</f>
        <v/>
      </c>
      <c r="R640" s="36" t="str">
        <f t="array" ref="R640">IF(AND($Y640="change",$H640="EUR"),IF(AND($AA640="Crédit",$O640=$O641),$R641,IF(AND($AA640="Débit",$O640=$O639),$R639)),IF(OR(AND(OR($E640&lt;&gt;"",$M640=""),$N640&lt;&gt;0),$A640=""),IFERROR(INDEX(Investment!$H:$H,MATCH($E640,Investment!$F:$F,0))),IFERROR(INDEX($R641:$R1119,MATCH(SUBSTITUTE($I640,"-","",1),$K641:$K1119,0)),INDEX($R641:$R1119,MATCH($K640,$K641:$K1119,0)))))</f>
        <v/>
      </c>
      <c r="S640" s="35" t="str">
        <f t="shared" si="2"/>
        <v/>
      </c>
      <c r="T640" s="37" t="str">
        <f t="shared" si="3"/>
        <v/>
      </c>
      <c r="U640" s="38" t="str">
        <f t="shared" si="4"/>
        <v/>
      </c>
      <c r="V640" s="31" t="str">
        <f t="shared" si="5"/>
        <v/>
      </c>
      <c r="W640" s="39" t="str">
        <f>IFERROR(__xludf.DUMMYFUNCTION(" IF(Account!$F640&lt;&gt;"""", SPLIT(Account!$F640, "" ""), """")"),"")</f>
        <v/>
      </c>
      <c r="X640" s="40"/>
      <c r="Y640" s="40"/>
      <c r="Z640" s="40"/>
      <c r="AA640" s="40"/>
      <c r="AB640" s="40"/>
      <c r="AC640" s="40"/>
      <c r="AD640" s="40"/>
      <c r="AE640" s="40"/>
      <c r="AF640" s="40"/>
      <c r="AG640" s="40"/>
      <c r="AH640" s="40"/>
      <c r="AI640" s="40"/>
      <c r="AJ640" s="40"/>
      <c r="AK640" s="40"/>
    </row>
    <row r="641">
      <c r="A641" s="300"/>
      <c r="B641" s="300"/>
      <c r="C641" s="300"/>
      <c r="D641" s="300"/>
      <c r="E641" s="300"/>
      <c r="F641" s="329"/>
      <c r="G641" s="300"/>
      <c r="H641" s="300"/>
      <c r="I641" s="300"/>
      <c r="J641" s="300"/>
      <c r="K641" s="300"/>
      <c r="L641" s="329"/>
      <c r="M641" s="29" t="str">
        <f t="shared" si="1"/>
        <v/>
      </c>
      <c r="N641" s="31" t="str">
        <f>IFERROR(__xludf.DUMMYFUNCTION("IF(Account!$F641&lt;&gt;"""", VALUE(REGEXREPLACE($I641, ""\,"", ""."")), """")"),"")</f>
        <v/>
      </c>
      <c r="O641" s="33" t="str">
        <f>IF(Account!$F641&lt;&gt;"", DATEVALUE(MID($A641,4,3) &amp; LEFT($A641,3) &amp; RIGHT($A641,4)) + TIMEVALUE($B641), "")</f>
        <v/>
      </c>
      <c r="P641" s="34" t="str">
        <f>IF(Account!$F641&lt;&gt;"", DATEVALUE(MID($C641,4,3) &amp; LEFT($C641,3) &amp; RIGHT($C641,4)), "")</f>
        <v/>
      </c>
      <c r="Q641" s="35" t="str">
        <f t="array" ref="Q641">IF($R641&lt;&gt;"",IFERROR(INDEX(Investment!$A:$A,MATCH($R641,Investment!$H:$H,0))),)</f>
        <v/>
      </c>
      <c r="R641" s="36" t="str">
        <f t="array" ref="R641">IF(AND($Y641="change",$H641="EUR"),IF(AND($AA641="Crédit",$O641=$O642),$R642,IF(AND($AA641="Débit",$O641=$O640),$R640)),IF(OR(AND(OR($E641&lt;&gt;"",$M641=""),$N641&lt;&gt;0),$A641=""),IFERROR(INDEX(Investment!$H:$H,MATCH($E641,Investment!$F:$F,0))),IFERROR(INDEX($R642:$R1119,MATCH(SUBSTITUTE($I641,"-","",1),$K642:$K1119,0)),INDEX($R642:$R1119,MATCH($K641,$K642:$K1119,0)))))</f>
        <v/>
      </c>
      <c r="S641" s="35" t="str">
        <f t="shared" si="2"/>
        <v/>
      </c>
      <c r="T641" s="37" t="str">
        <f t="shared" si="3"/>
        <v/>
      </c>
      <c r="U641" s="38" t="str">
        <f t="shared" si="4"/>
        <v/>
      </c>
      <c r="V641" s="31" t="str">
        <f t="shared" si="5"/>
        <v/>
      </c>
      <c r="W641" s="39" t="str">
        <f>IFERROR(__xludf.DUMMYFUNCTION(" IF(Account!$F641&lt;&gt;"""", SPLIT(Account!$F641, "" ""), """")"),"")</f>
        <v/>
      </c>
      <c r="X641" s="40"/>
      <c r="Y641" s="40"/>
      <c r="Z641" s="40"/>
      <c r="AA641" s="40"/>
      <c r="AB641" s="40"/>
      <c r="AC641" s="40"/>
      <c r="AD641" s="40"/>
      <c r="AE641" s="40"/>
      <c r="AF641" s="40"/>
      <c r="AG641" s="40"/>
      <c r="AH641" s="40"/>
      <c r="AI641" s="40"/>
      <c r="AJ641" s="40"/>
      <c r="AK641" s="40"/>
    </row>
    <row r="642">
      <c r="A642" s="300"/>
      <c r="B642" s="300"/>
      <c r="C642" s="300"/>
      <c r="D642" s="300"/>
      <c r="E642" s="300"/>
      <c r="F642" s="329"/>
      <c r="G642" s="300"/>
      <c r="H642" s="300"/>
      <c r="I642" s="300"/>
      <c r="J642" s="300"/>
      <c r="K642" s="300"/>
      <c r="L642" s="329"/>
      <c r="M642" s="29" t="str">
        <f t="shared" si="1"/>
        <v/>
      </c>
      <c r="N642" s="31" t="str">
        <f>IFERROR(__xludf.DUMMYFUNCTION("IF(Account!$F642&lt;&gt;"""", VALUE(REGEXREPLACE($I642, ""\,"", ""."")), """")"),"")</f>
        <v/>
      </c>
      <c r="O642" s="33" t="str">
        <f>IF(Account!$F642&lt;&gt;"", DATEVALUE(MID($A642,4,3) &amp; LEFT($A642,3) &amp; RIGHT($A642,4)) + TIMEVALUE($B642), "")</f>
        <v/>
      </c>
      <c r="P642" s="34" t="str">
        <f>IF(Account!$F642&lt;&gt;"", DATEVALUE(MID($C642,4,3) &amp; LEFT($C642,3) &amp; RIGHT($C642,4)), "")</f>
        <v/>
      </c>
      <c r="Q642" s="35" t="str">
        <f t="array" ref="Q642">IF($R642&lt;&gt;"",IFERROR(INDEX(Investment!$A:$A,MATCH($R642,Investment!$H:$H,0))),)</f>
        <v/>
      </c>
      <c r="R642" s="36" t="str">
        <f t="array" ref="R642">IF(AND($Y642="change",$H642="EUR"),IF(AND($AA642="Crédit",$O642=$O643),$R643,IF(AND($AA642="Débit",$O642=$O641),$R641)),IF(OR(AND(OR($E642&lt;&gt;"",$M642=""),$N642&lt;&gt;0),$A642=""),IFERROR(INDEX(Investment!$H:$H,MATCH($E642,Investment!$F:$F,0))),IFERROR(INDEX($R643:$R1119,MATCH(SUBSTITUTE($I642,"-","",1),$K643:$K1119,0)),INDEX($R643:$R1119,MATCH($K642,$K643:$K1119,0)))))</f>
        <v/>
      </c>
      <c r="S642" s="35" t="str">
        <f t="shared" si="2"/>
        <v/>
      </c>
      <c r="T642" s="37" t="str">
        <f t="shared" si="3"/>
        <v/>
      </c>
      <c r="U642" s="38" t="str">
        <f t="shared" si="4"/>
        <v/>
      </c>
      <c r="V642" s="31" t="str">
        <f t="shared" si="5"/>
        <v/>
      </c>
      <c r="W642" s="39" t="str">
        <f>IFERROR(__xludf.DUMMYFUNCTION(" IF(Account!$F642&lt;&gt;"""", SPLIT(Account!$F642, "" ""), """")"),"")</f>
        <v/>
      </c>
      <c r="X642" s="40"/>
      <c r="Y642" s="40"/>
      <c r="Z642" s="40"/>
      <c r="AA642" s="40"/>
      <c r="AB642" s="40"/>
      <c r="AC642" s="40"/>
      <c r="AD642" s="40"/>
      <c r="AE642" s="40"/>
      <c r="AF642" s="40"/>
      <c r="AG642" s="40"/>
      <c r="AH642" s="40"/>
      <c r="AI642" s="40"/>
      <c r="AJ642" s="40"/>
      <c r="AK642" s="40"/>
    </row>
    <row r="643">
      <c r="A643" s="300"/>
      <c r="B643" s="300"/>
      <c r="C643" s="300"/>
      <c r="D643" s="300"/>
      <c r="E643" s="300"/>
      <c r="F643" s="329"/>
      <c r="G643" s="300"/>
      <c r="H643" s="300"/>
      <c r="I643" s="300"/>
      <c r="J643" s="300"/>
      <c r="K643" s="300"/>
      <c r="L643" s="329"/>
      <c r="M643" s="29" t="str">
        <f t="shared" si="1"/>
        <v/>
      </c>
      <c r="N643" s="31" t="str">
        <f>IFERROR(__xludf.DUMMYFUNCTION("IF(Account!$F643&lt;&gt;"""", VALUE(REGEXREPLACE($I643, ""\,"", ""."")), """")"),"")</f>
        <v/>
      </c>
      <c r="O643" s="33" t="str">
        <f>IF(Account!$F643&lt;&gt;"", DATEVALUE(MID($A643,4,3) &amp; LEFT($A643,3) &amp; RIGHT($A643,4)) + TIMEVALUE($B643), "")</f>
        <v/>
      </c>
      <c r="P643" s="34" t="str">
        <f>IF(Account!$F643&lt;&gt;"", DATEVALUE(MID($C643,4,3) &amp; LEFT($C643,3) &amp; RIGHT($C643,4)), "")</f>
        <v/>
      </c>
      <c r="Q643" s="35" t="str">
        <f t="array" ref="Q643">IF($R643&lt;&gt;"",IFERROR(INDEX(Investment!$A:$A,MATCH($R643,Investment!$H:$H,0))),)</f>
        <v/>
      </c>
      <c r="R643" s="36" t="str">
        <f t="array" ref="R643">IF(AND($Y643="change",$H643="EUR"),IF(AND($AA643="Crédit",$O643=$O644),$R644,IF(AND($AA643="Débit",$O643=$O642),$R642)),IF(OR(AND(OR($E643&lt;&gt;"",$M643=""),$N643&lt;&gt;0),$A643=""),IFERROR(INDEX(Investment!$H:$H,MATCH($E643,Investment!$F:$F,0))),IFERROR(INDEX($R644:$R1119,MATCH(SUBSTITUTE($I643,"-","",1),$K644:$K1119,0)),INDEX($R644:$R1119,MATCH($K643,$K644:$K1119,0)))))</f>
        <v/>
      </c>
      <c r="S643" s="35" t="str">
        <f t="shared" si="2"/>
        <v/>
      </c>
      <c r="T643" s="37" t="str">
        <f t="shared" si="3"/>
        <v/>
      </c>
      <c r="U643" s="38" t="str">
        <f t="shared" si="4"/>
        <v/>
      </c>
      <c r="V643" s="31" t="str">
        <f t="shared" si="5"/>
        <v/>
      </c>
      <c r="W643" s="39" t="str">
        <f>IFERROR(__xludf.DUMMYFUNCTION(" IF(Account!$F643&lt;&gt;"""", SPLIT(Account!$F643, "" ""), """")"),"")</f>
        <v/>
      </c>
      <c r="X643" s="40"/>
      <c r="Y643" s="40"/>
      <c r="Z643" s="40"/>
      <c r="AA643" s="40"/>
      <c r="AB643" s="40"/>
      <c r="AC643" s="40"/>
      <c r="AD643" s="40"/>
      <c r="AE643" s="40"/>
      <c r="AF643" s="40"/>
      <c r="AG643" s="40"/>
      <c r="AH643" s="40"/>
      <c r="AI643" s="40"/>
      <c r="AJ643" s="40"/>
      <c r="AK643" s="40"/>
    </row>
    <row r="644">
      <c r="A644" s="300"/>
      <c r="B644" s="300"/>
      <c r="C644" s="300"/>
      <c r="D644" s="300"/>
      <c r="E644" s="300"/>
      <c r="F644" s="329"/>
      <c r="G644" s="300"/>
      <c r="H644" s="300"/>
      <c r="I644" s="300"/>
      <c r="J644" s="300"/>
      <c r="K644" s="300"/>
      <c r="L644" s="329"/>
      <c r="M644" s="29" t="str">
        <f t="shared" si="1"/>
        <v/>
      </c>
      <c r="N644" s="31" t="str">
        <f>IFERROR(__xludf.DUMMYFUNCTION("IF(Account!$F644&lt;&gt;"""", VALUE(REGEXREPLACE($I644, ""\,"", ""."")), """")"),"")</f>
        <v/>
      </c>
      <c r="O644" s="33" t="str">
        <f>IF(Account!$F644&lt;&gt;"", DATEVALUE(MID($A644,4,3) &amp; LEFT($A644,3) &amp; RIGHT($A644,4)) + TIMEVALUE($B644), "")</f>
        <v/>
      </c>
      <c r="P644" s="34" t="str">
        <f>IF(Account!$F644&lt;&gt;"", DATEVALUE(MID($C644,4,3) &amp; LEFT($C644,3) &amp; RIGHT($C644,4)), "")</f>
        <v/>
      </c>
      <c r="Q644" s="35" t="str">
        <f t="array" ref="Q644">IF($R644&lt;&gt;"",IFERROR(INDEX(Investment!$A:$A,MATCH($R644,Investment!$H:$H,0))),)</f>
        <v/>
      </c>
      <c r="R644" s="36" t="str">
        <f t="array" ref="R644">IF(AND($Y644="change",$H644="EUR"),IF(AND($AA644="Crédit",$O644=$O645),$R645,IF(AND($AA644="Débit",$O644=$O643),$R643)),IF(OR(AND(OR($E644&lt;&gt;"",$M644=""),$N644&lt;&gt;0),$A644=""),IFERROR(INDEX(Investment!$H:$H,MATCH($E644,Investment!$F:$F,0))),IFERROR(INDEX($R645:$R1119,MATCH(SUBSTITUTE($I644,"-","",1),$K645:$K1119,0)),INDEX($R645:$R1119,MATCH($K644,$K645:$K1119,0)))))</f>
        <v/>
      </c>
      <c r="S644" s="35" t="str">
        <f t="shared" si="2"/>
        <v/>
      </c>
      <c r="T644" s="37" t="str">
        <f t="shared" si="3"/>
        <v/>
      </c>
      <c r="U644" s="38" t="str">
        <f t="shared" si="4"/>
        <v/>
      </c>
      <c r="V644" s="31" t="str">
        <f t="shared" si="5"/>
        <v/>
      </c>
      <c r="W644" s="39" t="str">
        <f>IFERROR(__xludf.DUMMYFUNCTION(" IF(Account!$F644&lt;&gt;"""", SPLIT(Account!$F644, "" ""), """")"),"")</f>
        <v/>
      </c>
      <c r="X644" s="40"/>
      <c r="Y644" s="40"/>
      <c r="Z644" s="40"/>
      <c r="AA644" s="40"/>
      <c r="AB644" s="40"/>
      <c r="AC644" s="40"/>
      <c r="AD644" s="40"/>
      <c r="AE644" s="40"/>
      <c r="AF644" s="40"/>
      <c r="AG644" s="40"/>
      <c r="AH644" s="40"/>
      <c r="AI644" s="40"/>
      <c r="AJ644" s="40"/>
      <c r="AK644" s="40"/>
    </row>
    <row r="645">
      <c r="A645" s="300"/>
      <c r="B645" s="300"/>
      <c r="C645" s="300"/>
      <c r="D645" s="300"/>
      <c r="E645" s="300"/>
      <c r="F645" s="329"/>
      <c r="G645" s="300"/>
      <c r="H645" s="300"/>
      <c r="I645" s="300"/>
      <c r="J645" s="300"/>
      <c r="K645" s="300"/>
      <c r="L645" s="329"/>
      <c r="M645" s="29" t="str">
        <f t="shared" si="1"/>
        <v/>
      </c>
      <c r="N645" s="31" t="str">
        <f>IFERROR(__xludf.DUMMYFUNCTION("IF(Account!$F645&lt;&gt;"""", VALUE(REGEXREPLACE($I645, ""\,"", ""."")), """")"),"")</f>
        <v/>
      </c>
      <c r="O645" s="33" t="str">
        <f>IF(Account!$F645&lt;&gt;"", DATEVALUE(MID($A645,4,3) &amp; LEFT($A645,3) &amp; RIGHT($A645,4)) + TIMEVALUE($B645), "")</f>
        <v/>
      </c>
      <c r="P645" s="34" t="str">
        <f>IF(Account!$F645&lt;&gt;"", DATEVALUE(MID($C645,4,3) &amp; LEFT($C645,3) &amp; RIGHT($C645,4)), "")</f>
        <v/>
      </c>
      <c r="Q645" s="35" t="str">
        <f t="array" ref="Q645">IF($R645&lt;&gt;"",IFERROR(INDEX(Investment!$A:$A,MATCH($R645,Investment!$H:$H,0))),)</f>
        <v/>
      </c>
      <c r="R645" s="36" t="str">
        <f t="array" ref="R645">IF(AND($Y645="change",$H645="EUR"),IF(AND($AA645="Crédit",$O645=$O646),$R646,IF(AND($AA645="Débit",$O645=$O644),$R644)),IF(OR(AND(OR($E645&lt;&gt;"",$M645=""),$N645&lt;&gt;0),$A645=""),IFERROR(INDEX(Investment!$H:$H,MATCH($E645,Investment!$F:$F,0))),IFERROR(INDEX($R646:$R1119,MATCH(SUBSTITUTE($I645,"-","",1),$K646:$K1119,0)),INDEX($R646:$R1119,MATCH($K645,$K646:$K1119,0)))))</f>
        <v/>
      </c>
      <c r="S645" s="35" t="str">
        <f t="shared" si="2"/>
        <v/>
      </c>
      <c r="T645" s="37" t="str">
        <f t="shared" si="3"/>
        <v/>
      </c>
      <c r="U645" s="38" t="str">
        <f t="shared" si="4"/>
        <v/>
      </c>
      <c r="V645" s="31" t="str">
        <f t="shared" si="5"/>
        <v/>
      </c>
      <c r="W645" s="39" t="str">
        <f>IFERROR(__xludf.DUMMYFUNCTION(" IF(Account!$F645&lt;&gt;"""", SPLIT(Account!$F645, "" ""), """")"),"")</f>
        <v/>
      </c>
      <c r="X645" s="40"/>
      <c r="Y645" s="40"/>
      <c r="Z645" s="40"/>
      <c r="AA645" s="40"/>
      <c r="AB645" s="40"/>
      <c r="AC645" s="40"/>
      <c r="AD645" s="40"/>
      <c r="AE645" s="40"/>
      <c r="AF645" s="40"/>
      <c r="AG645" s="40"/>
      <c r="AH645" s="40"/>
      <c r="AI645" s="40"/>
      <c r="AJ645" s="40"/>
      <c r="AK645" s="40"/>
    </row>
    <row r="646">
      <c r="A646" s="300"/>
      <c r="B646" s="300"/>
      <c r="C646" s="300"/>
      <c r="D646" s="300"/>
      <c r="E646" s="300"/>
      <c r="F646" s="329"/>
      <c r="G646" s="300"/>
      <c r="H646" s="300"/>
      <c r="I646" s="300"/>
      <c r="J646" s="300"/>
      <c r="K646" s="300"/>
      <c r="L646" s="329"/>
      <c r="M646" s="29" t="str">
        <f t="shared" si="1"/>
        <v/>
      </c>
      <c r="N646" s="31" t="str">
        <f>IFERROR(__xludf.DUMMYFUNCTION("IF(Account!$F646&lt;&gt;"""", VALUE(REGEXREPLACE($I646, ""\,"", ""."")), """")"),"")</f>
        <v/>
      </c>
      <c r="O646" s="33" t="str">
        <f>IF(Account!$F646&lt;&gt;"", DATEVALUE(MID($A646,4,3) &amp; LEFT($A646,3) &amp; RIGHT($A646,4)) + TIMEVALUE($B646), "")</f>
        <v/>
      </c>
      <c r="P646" s="34" t="str">
        <f>IF(Account!$F646&lt;&gt;"", DATEVALUE(MID($C646,4,3) &amp; LEFT($C646,3) &amp; RIGHT($C646,4)), "")</f>
        <v/>
      </c>
      <c r="Q646" s="35" t="str">
        <f t="array" ref="Q646">IF($R646&lt;&gt;"",IFERROR(INDEX(Investment!$A:$A,MATCH($R646,Investment!$H:$H,0))),)</f>
        <v/>
      </c>
      <c r="R646" s="36" t="str">
        <f t="array" ref="R646">IF(AND($Y646="change",$H646="EUR"),IF(AND($AA646="Crédit",$O646=$O647),$R647,IF(AND($AA646="Débit",$O646=$O645),$R645)),IF(OR(AND(OR($E646&lt;&gt;"",$M646=""),$N646&lt;&gt;0),$A646=""),IFERROR(INDEX(Investment!$H:$H,MATCH($E646,Investment!$F:$F,0))),IFERROR(INDEX($R647:$R1119,MATCH(SUBSTITUTE($I646,"-","",1),$K647:$K1119,0)),INDEX($R647:$R1119,MATCH($K646,$K647:$K1119,0)))))</f>
        <v/>
      </c>
      <c r="S646" s="35" t="str">
        <f t="shared" si="2"/>
        <v/>
      </c>
      <c r="T646" s="37" t="str">
        <f t="shared" si="3"/>
        <v/>
      </c>
      <c r="U646" s="38" t="str">
        <f t="shared" si="4"/>
        <v/>
      </c>
      <c r="V646" s="31" t="str">
        <f t="shared" si="5"/>
        <v/>
      </c>
      <c r="W646" s="39" t="str">
        <f>IFERROR(__xludf.DUMMYFUNCTION(" IF(Account!$F646&lt;&gt;"""", SPLIT(Account!$F646, "" ""), """")"),"")</f>
        <v/>
      </c>
      <c r="X646" s="40"/>
      <c r="Y646" s="40"/>
      <c r="Z646" s="40"/>
      <c r="AA646" s="40"/>
      <c r="AB646" s="40"/>
      <c r="AC646" s="40"/>
      <c r="AD646" s="40"/>
      <c r="AE646" s="40"/>
      <c r="AF646" s="40"/>
      <c r="AG646" s="40"/>
      <c r="AH646" s="40"/>
      <c r="AI646" s="40"/>
      <c r="AJ646" s="40"/>
      <c r="AK646" s="40"/>
    </row>
    <row r="647">
      <c r="A647" s="300"/>
      <c r="B647" s="300"/>
      <c r="C647" s="300"/>
      <c r="D647" s="300"/>
      <c r="E647" s="300"/>
      <c r="F647" s="329"/>
      <c r="G647" s="300"/>
      <c r="H647" s="300"/>
      <c r="I647" s="300"/>
      <c r="J647" s="300"/>
      <c r="K647" s="300"/>
      <c r="L647" s="329"/>
      <c r="M647" s="29" t="str">
        <f t="shared" si="1"/>
        <v/>
      </c>
      <c r="N647" s="31" t="str">
        <f>IFERROR(__xludf.DUMMYFUNCTION("IF(Account!$F647&lt;&gt;"""", VALUE(REGEXREPLACE($I647, ""\,"", ""."")), """")"),"")</f>
        <v/>
      </c>
      <c r="O647" s="33" t="str">
        <f>IF(Account!$F647&lt;&gt;"", DATEVALUE(MID($A647,4,3) &amp; LEFT($A647,3) &amp; RIGHT($A647,4)) + TIMEVALUE($B647), "")</f>
        <v/>
      </c>
      <c r="P647" s="34" t="str">
        <f>IF(Account!$F647&lt;&gt;"", DATEVALUE(MID($C647,4,3) &amp; LEFT($C647,3) &amp; RIGHT($C647,4)), "")</f>
        <v/>
      </c>
      <c r="Q647" s="35" t="str">
        <f t="array" ref="Q647">IF($R647&lt;&gt;"",IFERROR(INDEX(Investment!$A:$A,MATCH($R647,Investment!$H:$H,0))),)</f>
        <v/>
      </c>
      <c r="R647" s="36" t="str">
        <f t="array" ref="R647">IF(AND($Y647="change",$H647="EUR"),IF(AND($AA647="Crédit",$O647=$O648),$R648,IF(AND($AA647="Débit",$O647=$O646),$R646)),IF(OR(AND(OR($E647&lt;&gt;"",$M647=""),$N647&lt;&gt;0),$A647=""),IFERROR(INDEX(Investment!$H:$H,MATCH($E647,Investment!$F:$F,0))),IFERROR(INDEX($R648:$R1119,MATCH(SUBSTITUTE($I647,"-","",1),$K648:$K1119,0)),INDEX($R648:$R1119,MATCH($K647,$K648:$K1119,0)))))</f>
        <v/>
      </c>
      <c r="S647" s="35" t="str">
        <f t="shared" si="2"/>
        <v/>
      </c>
      <c r="T647" s="37" t="str">
        <f t="shared" si="3"/>
        <v/>
      </c>
      <c r="U647" s="38" t="str">
        <f t="shared" si="4"/>
        <v/>
      </c>
      <c r="V647" s="31" t="str">
        <f t="shared" si="5"/>
        <v/>
      </c>
      <c r="W647" s="39" t="str">
        <f>IFERROR(__xludf.DUMMYFUNCTION(" IF(Account!$F647&lt;&gt;"""", SPLIT(Account!$F647, "" ""), """")"),"")</f>
        <v/>
      </c>
      <c r="X647" s="40"/>
      <c r="Y647" s="40"/>
      <c r="Z647" s="40"/>
      <c r="AA647" s="40"/>
      <c r="AB647" s="40"/>
      <c r="AC647" s="40"/>
      <c r="AD647" s="40"/>
      <c r="AE647" s="40"/>
      <c r="AF647" s="40"/>
      <c r="AG647" s="40"/>
      <c r="AH647" s="40"/>
      <c r="AI647" s="40"/>
      <c r="AJ647" s="40"/>
      <c r="AK647" s="40"/>
    </row>
    <row r="648">
      <c r="A648" s="300"/>
      <c r="B648" s="300"/>
      <c r="C648" s="300"/>
      <c r="D648" s="300"/>
      <c r="E648" s="300"/>
      <c r="F648" s="329"/>
      <c r="G648" s="300"/>
      <c r="H648" s="300"/>
      <c r="I648" s="300"/>
      <c r="J648" s="300"/>
      <c r="K648" s="300"/>
      <c r="L648" s="329"/>
      <c r="M648" s="29" t="str">
        <f t="shared" si="1"/>
        <v/>
      </c>
      <c r="N648" s="31" t="str">
        <f>IFERROR(__xludf.DUMMYFUNCTION("IF(Account!$F648&lt;&gt;"""", VALUE(REGEXREPLACE($I648, ""\,"", ""."")), """")"),"")</f>
        <v/>
      </c>
      <c r="O648" s="33" t="str">
        <f>IF(Account!$F648&lt;&gt;"", DATEVALUE(MID($A648,4,3) &amp; LEFT($A648,3) &amp; RIGHT($A648,4)) + TIMEVALUE($B648), "")</f>
        <v/>
      </c>
      <c r="P648" s="34" t="str">
        <f>IF(Account!$F648&lt;&gt;"", DATEVALUE(MID($C648,4,3) &amp; LEFT($C648,3) &amp; RIGHT($C648,4)), "")</f>
        <v/>
      </c>
      <c r="Q648" s="35" t="str">
        <f t="array" ref="Q648">IF($R648&lt;&gt;"",IFERROR(INDEX(Investment!$A:$A,MATCH($R648,Investment!$H:$H,0))),)</f>
        <v/>
      </c>
      <c r="R648" s="36" t="str">
        <f t="array" ref="R648">IF(AND($Y648="change",$H648="EUR"),IF(AND($AA648="Crédit",$O648=$O649),$R649,IF(AND($AA648="Débit",$O648=$O647),$R647)),IF(OR(AND(OR($E648&lt;&gt;"",$M648=""),$N648&lt;&gt;0),$A648=""),IFERROR(INDEX(Investment!$H:$H,MATCH($E648,Investment!$F:$F,0))),IFERROR(INDEX($R649:$R1119,MATCH(SUBSTITUTE($I648,"-","",1),$K649:$K1119,0)),INDEX($R649:$R1119,MATCH($K648,$K649:$K1119,0)))))</f>
        <v/>
      </c>
      <c r="S648" s="35" t="str">
        <f t="shared" si="2"/>
        <v/>
      </c>
      <c r="T648" s="37" t="str">
        <f t="shared" si="3"/>
        <v/>
      </c>
      <c r="U648" s="38" t="str">
        <f t="shared" si="4"/>
        <v/>
      </c>
      <c r="V648" s="31" t="str">
        <f t="shared" si="5"/>
        <v/>
      </c>
      <c r="W648" s="39" t="str">
        <f>IFERROR(__xludf.DUMMYFUNCTION(" IF(Account!$F648&lt;&gt;"""", SPLIT(Account!$F648, "" ""), """")"),"")</f>
        <v/>
      </c>
      <c r="X648" s="40"/>
      <c r="Y648" s="40"/>
      <c r="Z648" s="40"/>
      <c r="AA648" s="40"/>
      <c r="AB648" s="40"/>
      <c r="AC648" s="40"/>
      <c r="AD648" s="40"/>
      <c r="AE648" s="40"/>
      <c r="AF648" s="40"/>
      <c r="AG648" s="40"/>
      <c r="AH648" s="40"/>
      <c r="AI648" s="40"/>
      <c r="AJ648" s="40"/>
      <c r="AK648" s="40"/>
    </row>
    <row r="649">
      <c r="A649" s="300"/>
      <c r="B649" s="300"/>
      <c r="C649" s="300"/>
      <c r="D649" s="300"/>
      <c r="E649" s="300"/>
      <c r="F649" s="329"/>
      <c r="G649" s="300"/>
      <c r="H649" s="300"/>
      <c r="I649" s="300"/>
      <c r="J649" s="300"/>
      <c r="K649" s="300"/>
      <c r="L649" s="329"/>
      <c r="M649" s="29" t="str">
        <f t="shared" si="1"/>
        <v/>
      </c>
      <c r="N649" s="31" t="str">
        <f>IFERROR(__xludf.DUMMYFUNCTION("IF(Account!$F649&lt;&gt;"""", VALUE(REGEXREPLACE($I649, ""\,"", ""."")), """")"),"")</f>
        <v/>
      </c>
      <c r="O649" s="33" t="str">
        <f>IF(Account!$F649&lt;&gt;"", DATEVALUE(MID($A649,4,3) &amp; LEFT($A649,3) &amp; RIGHT($A649,4)) + TIMEVALUE($B649), "")</f>
        <v/>
      </c>
      <c r="P649" s="34" t="str">
        <f>IF(Account!$F649&lt;&gt;"", DATEVALUE(MID($C649,4,3) &amp; LEFT($C649,3) &amp; RIGHT($C649,4)), "")</f>
        <v/>
      </c>
      <c r="Q649" s="35" t="str">
        <f t="array" ref="Q649">IF($R649&lt;&gt;"",IFERROR(INDEX(Investment!$A:$A,MATCH($R649,Investment!$H:$H,0))),)</f>
        <v/>
      </c>
      <c r="R649" s="36" t="str">
        <f t="array" ref="R649">IF(AND($Y649="change",$H649="EUR"),IF(AND($AA649="Crédit",$O649=$O650),$R650,IF(AND($AA649="Débit",$O649=$O648),$R648)),IF(OR(AND(OR($E649&lt;&gt;"",$M649=""),$N649&lt;&gt;0),$A649=""),IFERROR(INDEX(Investment!$H:$H,MATCH($E649,Investment!$F:$F,0))),IFERROR(INDEX($R650:$R1119,MATCH(SUBSTITUTE($I649,"-","",1),$K650:$K1119,0)),INDEX($R650:$R1119,MATCH($K649,$K650:$K1119,0)))))</f>
        <v/>
      </c>
      <c r="S649" s="35" t="str">
        <f t="shared" si="2"/>
        <v/>
      </c>
      <c r="T649" s="37" t="str">
        <f t="shared" si="3"/>
        <v/>
      </c>
      <c r="U649" s="38" t="str">
        <f t="shared" si="4"/>
        <v/>
      </c>
      <c r="V649" s="31" t="str">
        <f t="shared" si="5"/>
        <v/>
      </c>
      <c r="W649" s="39" t="str">
        <f>IFERROR(__xludf.DUMMYFUNCTION(" IF(Account!$F649&lt;&gt;"""", SPLIT(Account!$F649, "" ""), """")"),"")</f>
        <v/>
      </c>
      <c r="X649" s="40"/>
      <c r="Y649" s="40"/>
      <c r="Z649" s="40"/>
      <c r="AA649" s="40"/>
      <c r="AB649" s="40"/>
      <c r="AC649" s="40"/>
      <c r="AD649" s="40"/>
      <c r="AE649" s="40"/>
      <c r="AF649" s="40"/>
      <c r="AG649" s="40"/>
      <c r="AH649" s="40"/>
      <c r="AI649" s="40"/>
      <c r="AJ649" s="40"/>
      <c r="AK649" s="40"/>
    </row>
    <row r="650">
      <c r="A650" s="300"/>
      <c r="B650" s="300"/>
      <c r="C650" s="300"/>
      <c r="D650" s="300"/>
      <c r="E650" s="300"/>
      <c r="F650" s="329"/>
      <c r="G650" s="300"/>
      <c r="H650" s="300"/>
      <c r="I650" s="300"/>
      <c r="J650" s="300"/>
      <c r="K650" s="300"/>
      <c r="L650" s="329"/>
      <c r="M650" s="29" t="str">
        <f t="shared" si="1"/>
        <v/>
      </c>
      <c r="N650" s="31" t="str">
        <f>IFERROR(__xludf.DUMMYFUNCTION("IF(Account!$F650&lt;&gt;"""", VALUE(REGEXREPLACE($I650, ""\,"", ""."")), """")"),"")</f>
        <v/>
      </c>
      <c r="O650" s="33" t="str">
        <f>IF(Account!$F650&lt;&gt;"", DATEVALUE(MID($A650,4,3) &amp; LEFT($A650,3) &amp; RIGHT($A650,4)) + TIMEVALUE($B650), "")</f>
        <v/>
      </c>
      <c r="P650" s="34" t="str">
        <f>IF(Account!$F650&lt;&gt;"", DATEVALUE(MID($C650,4,3) &amp; LEFT($C650,3) &amp; RIGHT($C650,4)), "")</f>
        <v/>
      </c>
      <c r="Q650" s="35" t="str">
        <f t="array" ref="Q650">IF($R650&lt;&gt;"",IFERROR(INDEX(Investment!$A:$A,MATCH($R650,Investment!$H:$H,0))),)</f>
        <v/>
      </c>
      <c r="R650" s="36" t="str">
        <f t="array" ref="R650">IF(AND($Y650="change",$H650="EUR"),IF(AND($AA650="Crédit",$O650=$O651),$R651,IF(AND($AA650="Débit",$O650=$O649),$R649)),IF(OR(AND(OR($E650&lt;&gt;"",$M650=""),$N650&lt;&gt;0),$A650=""),IFERROR(INDEX(Investment!$H:$H,MATCH($E650,Investment!$F:$F,0))),IFERROR(INDEX($R651:$R1119,MATCH(SUBSTITUTE($I650,"-","",1),$K651:$K1119,0)),INDEX($R651:$R1119,MATCH($K650,$K651:$K1119,0)))))</f>
        <v/>
      </c>
      <c r="S650" s="35" t="str">
        <f t="shared" si="2"/>
        <v/>
      </c>
      <c r="T650" s="37" t="str">
        <f t="shared" si="3"/>
        <v/>
      </c>
      <c r="U650" s="38" t="str">
        <f t="shared" si="4"/>
        <v/>
      </c>
      <c r="V650" s="31" t="str">
        <f t="shared" si="5"/>
        <v/>
      </c>
      <c r="W650" s="39" t="str">
        <f>IFERROR(__xludf.DUMMYFUNCTION(" IF(Account!$F650&lt;&gt;"""", SPLIT(Account!$F650, "" ""), """")"),"")</f>
        <v/>
      </c>
      <c r="X650" s="40"/>
      <c r="Y650" s="40"/>
      <c r="Z650" s="40"/>
      <c r="AA650" s="40"/>
      <c r="AB650" s="40"/>
      <c r="AC650" s="40"/>
      <c r="AD650" s="40"/>
      <c r="AE650" s="40"/>
      <c r="AF650" s="40"/>
      <c r="AG650" s="40"/>
      <c r="AH650" s="40"/>
      <c r="AI650" s="40"/>
      <c r="AJ650" s="40"/>
      <c r="AK650" s="40"/>
    </row>
    <row r="651">
      <c r="A651" s="300"/>
      <c r="B651" s="300"/>
      <c r="C651" s="300"/>
      <c r="D651" s="300"/>
      <c r="E651" s="300"/>
      <c r="F651" s="329"/>
      <c r="G651" s="300"/>
      <c r="H651" s="300"/>
      <c r="I651" s="300"/>
      <c r="J651" s="300"/>
      <c r="K651" s="300"/>
      <c r="L651" s="329"/>
      <c r="M651" s="29" t="str">
        <f t="shared" si="1"/>
        <v/>
      </c>
      <c r="N651" s="31" t="str">
        <f>IFERROR(__xludf.DUMMYFUNCTION("IF(Account!$F651&lt;&gt;"""", VALUE(REGEXREPLACE($I651, ""\,"", ""."")), """")"),"")</f>
        <v/>
      </c>
      <c r="O651" s="33" t="str">
        <f>IF(Account!$F651&lt;&gt;"", DATEVALUE(MID($A651,4,3) &amp; LEFT($A651,3) &amp; RIGHT($A651,4)) + TIMEVALUE($B651), "")</f>
        <v/>
      </c>
      <c r="P651" s="34" t="str">
        <f>IF(Account!$F651&lt;&gt;"", DATEVALUE(MID($C651,4,3) &amp; LEFT($C651,3) &amp; RIGHT($C651,4)), "")</f>
        <v/>
      </c>
      <c r="Q651" s="35" t="str">
        <f t="array" ref="Q651">IF($R651&lt;&gt;"",IFERROR(INDEX(Investment!$A:$A,MATCH($R651,Investment!$H:$H,0))),)</f>
        <v/>
      </c>
      <c r="R651" s="36" t="str">
        <f t="array" ref="R651">IF(AND($Y651="change",$H651="EUR"),IF(AND($AA651="Crédit",$O651=$O652),$R652,IF(AND($AA651="Débit",$O651=$O650),$R650)),IF(OR(AND(OR($E651&lt;&gt;"",$M651=""),$N651&lt;&gt;0),$A651=""),IFERROR(INDEX(Investment!$H:$H,MATCH($E651,Investment!$F:$F,0))),IFERROR(INDEX($R652:$R1119,MATCH(SUBSTITUTE($I651,"-","",1),$K652:$K1119,0)),INDEX($R652:$R1119,MATCH($K651,$K652:$K1119,0)))))</f>
        <v/>
      </c>
      <c r="S651" s="35" t="str">
        <f t="shared" si="2"/>
        <v/>
      </c>
      <c r="T651" s="37" t="str">
        <f t="shared" si="3"/>
        <v/>
      </c>
      <c r="U651" s="38" t="str">
        <f t="shared" si="4"/>
        <v/>
      </c>
      <c r="V651" s="31" t="str">
        <f t="shared" si="5"/>
        <v/>
      </c>
      <c r="W651" s="39" t="str">
        <f>IFERROR(__xludf.DUMMYFUNCTION(" IF(Account!$F651&lt;&gt;"""", SPLIT(Account!$F651, "" ""), """")"),"")</f>
        <v/>
      </c>
      <c r="X651" s="40"/>
      <c r="Y651" s="40"/>
      <c r="Z651" s="40"/>
      <c r="AA651" s="40"/>
      <c r="AB651" s="40"/>
      <c r="AC651" s="40"/>
      <c r="AD651" s="40"/>
      <c r="AE651" s="40"/>
      <c r="AF651" s="40"/>
      <c r="AG651" s="40"/>
      <c r="AH651" s="40"/>
      <c r="AI651" s="40"/>
      <c r="AJ651" s="40"/>
      <c r="AK651" s="40"/>
    </row>
    <row r="652">
      <c r="A652" s="300"/>
      <c r="B652" s="300"/>
      <c r="C652" s="300"/>
      <c r="D652" s="300"/>
      <c r="E652" s="300"/>
      <c r="F652" s="329"/>
      <c r="G652" s="300"/>
      <c r="H652" s="300"/>
      <c r="I652" s="300"/>
      <c r="J652" s="300"/>
      <c r="K652" s="300"/>
      <c r="L652" s="329"/>
      <c r="M652" s="29" t="str">
        <f t="shared" si="1"/>
        <v/>
      </c>
      <c r="N652" s="31" t="str">
        <f>IFERROR(__xludf.DUMMYFUNCTION("IF(Account!$F652&lt;&gt;"""", VALUE(REGEXREPLACE($I652, ""\,"", ""."")), """")"),"")</f>
        <v/>
      </c>
      <c r="O652" s="33" t="str">
        <f>IF(Account!$F652&lt;&gt;"", DATEVALUE(MID($A652,4,3) &amp; LEFT($A652,3) &amp; RIGHT($A652,4)) + TIMEVALUE($B652), "")</f>
        <v/>
      </c>
      <c r="P652" s="34" t="str">
        <f>IF(Account!$F652&lt;&gt;"", DATEVALUE(MID($C652,4,3) &amp; LEFT($C652,3) &amp; RIGHT($C652,4)), "")</f>
        <v/>
      </c>
      <c r="Q652" s="35" t="str">
        <f t="array" ref="Q652">IF($R652&lt;&gt;"",IFERROR(INDEX(Investment!$A:$A,MATCH($R652,Investment!$H:$H,0))),)</f>
        <v/>
      </c>
      <c r="R652" s="36" t="str">
        <f t="array" ref="R652">IF(AND($Y652="change",$H652="EUR"),IF(AND($AA652="Crédit",$O652=$O653),$R653,IF(AND($AA652="Débit",$O652=$O651),$R651)),IF(OR(AND(OR($E652&lt;&gt;"",$M652=""),$N652&lt;&gt;0),$A652=""),IFERROR(INDEX(Investment!$H:$H,MATCH($E652,Investment!$F:$F,0))),IFERROR(INDEX($R653:$R1119,MATCH(SUBSTITUTE($I652,"-","",1),$K653:$K1119,0)),INDEX($R653:$R1119,MATCH($K652,$K653:$K1119,0)))))</f>
        <v/>
      </c>
      <c r="S652" s="35" t="str">
        <f t="shared" si="2"/>
        <v/>
      </c>
      <c r="T652" s="37" t="str">
        <f t="shared" si="3"/>
        <v/>
      </c>
      <c r="U652" s="38" t="str">
        <f t="shared" si="4"/>
        <v/>
      </c>
      <c r="V652" s="31" t="str">
        <f t="shared" si="5"/>
        <v/>
      </c>
      <c r="W652" s="39" t="str">
        <f>IFERROR(__xludf.DUMMYFUNCTION(" IF(Account!$F652&lt;&gt;"""", SPLIT(Account!$F652, "" ""), """")"),"")</f>
        <v/>
      </c>
      <c r="X652" s="40"/>
      <c r="Y652" s="40"/>
      <c r="Z652" s="40"/>
      <c r="AA652" s="40"/>
      <c r="AB652" s="40"/>
      <c r="AC652" s="40"/>
      <c r="AD652" s="40"/>
      <c r="AE652" s="40"/>
      <c r="AF652" s="40"/>
      <c r="AG652" s="40"/>
      <c r="AH652" s="40"/>
      <c r="AI652" s="40"/>
      <c r="AJ652" s="40"/>
      <c r="AK652" s="40"/>
    </row>
    <row r="653">
      <c r="A653" s="300"/>
      <c r="B653" s="300"/>
      <c r="C653" s="300"/>
      <c r="D653" s="300"/>
      <c r="E653" s="300"/>
      <c r="F653" s="329"/>
      <c r="G653" s="300"/>
      <c r="H653" s="300"/>
      <c r="I653" s="300"/>
      <c r="J653" s="300"/>
      <c r="K653" s="300"/>
      <c r="L653" s="329"/>
      <c r="M653" s="29" t="str">
        <f t="shared" si="1"/>
        <v/>
      </c>
      <c r="N653" s="31" t="str">
        <f>IFERROR(__xludf.DUMMYFUNCTION("IF(Account!$F653&lt;&gt;"""", VALUE(REGEXREPLACE($I653, ""\,"", ""."")), """")"),"")</f>
        <v/>
      </c>
      <c r="O653" s="33" t="str">
        <f>IF(Account!$F653&lt;&gt;"", DATEVALUE(MID($A653,4,3) &amp; LEFT($A653,3) &amp; RIGHT($A653,4)) + TIMEVALUE($B653), "")</f>
        <v/>
      </c>
      <c r="P653" s="34" t="str">
        <f>IF(Account!$F653&lt;&gt;"", DATEVALUE(MID($C653,4,3) &amp; LEFT($C653,3) &amp; RIGHT($C653,4)), "")</f>
        <v/>
      </c>
      <c r="Q653" s="35" t="str">
        <f t="array" ref="Q653">IF($R653&lt;&gt;"",IFERROR(INDEX(Investment!$A:$A,MATCH($R653,Investment!$H:$H,0))),)</f>
        <v/>
      </c>
      <c r="R653" s="36" t="str">
        <f t="array" ref="R653">IF(AND($Y653="change",$H653="EUR"),IF(AND($AA653="Crédit",$O653=$O654),$R654,IF(AND($AA653="Débit",$O653=$O652),$R652)),IF(OR(AND(OR($E653&lt;&gt;"",$M653=""),$N653&lt;&gt;0),$A653=""),IFERROR(INDEX(Investment!$H:$H,MATCH($E653,Investment!$F:$F,0))),IFERROR(INDEX($R654:$R1119,MATCH(SUBSTITUTE($I653,"-","",1),$K654:$K1119,0)),INDEX($R654:$R1119,MATCH($K653,$K654:$K1119,0)))))</f>
        <v/>
      </c>
      <c r="S653" s="35" t="str">
        <f t="shared" si="2"/>
        <v/>
      </c>
      <c r="T653" s="37" t="str">
        <f t="shared" si="3"/>
        <v/>
      </c>
      <c r="U653" s="38" t="str">
        <f t="shared" si="4"/>
        <v/>
      </c>
      <c r="V653" s="31" t="str">
        <f t="shared" si="5"/>
        <v/>
      </c>
      <c r="W653" s="39" t="str">
        <f>IFERROR(__xludf.DUMMYFUNCTION(" IF(Account!$F653&lt;&gt;"""", SPLIT(Account!$F653, "" ""), """")"),"")</f>
        <v/>
      </c>
      <c r="X653" s="40"/>
      <c r="Y653" s="40"/>
      <c r="Z653" s="40"/>
      <c r="AA653" s="40"/>
      <c r="AB653" s="40"/>
      <c r="AC653" s="40"/>
      <c r="AD653" s="40"/>
      <c r="AE653" s="40"/>
      <c r="AF653" s="40"/>
      <c r="AG653" s="40"/>
      <c r="AH653" s="40"/>
      <c r="AI653" s="40"/>
      <c r="AJ653" s="40"/>
      <c r="AK653" s="40"/>
    </row>
    <row r="654">
      <c r="A654" s="300"/>
      <c r="B654" s="300"/>
      <c r="C654" s="300"/>
      <c r="D654" s="300"/>
      <c r="E654" s="300"/>
      <c r="F654" s="329"/>
      <c r="G654" s="300"/>
      <c r="H654" s="300"/>
      <c r="I654" s="300"/>
      <c r="J654" s="300"/>
      <c r="K654" s="300"/>
      <c r="L654" s="329"/>
      <c r="M654" s="29" t="str">
        <f t="shared" si="1"/>
        <v/>
      </c>
      <c r="N654" s="31" t="str">
        <f>IFERROR(__xludf.DUMMYFUNCTION("IF(Account!$F654&lt;&gt;"""", VALUE(REGEXREPLACE($I654, ""\,"", ""."")), """")"),"")</f>
        <v/>
      </c>
      <c r="O654" s="33" t="str">
        <f>IF(Account!$F654&lt;&gt;"", DATEVALUE(MID($A654,4,3) &amp; LEFT($A654,3) &amp; RIGHT($A654,4)) + TIMEVALUE($B654), "")</f>
        <v/>
      </c>
      <c r="P654" s="34" t="str">
        <f>IF(Account!$F654&lt;&gt;"", DATEVALUE(MID($C654,4,3) &amp; LEFT($C654,3) &amp; RIGHT($C654,4)), "")</f>
        <v/>
      </c>
      <c r="Q654" s="35" t="str">
        <f t="array" ref="Q654">IF($R654&lt;&gt;"",IFERROR(INDEX(Investment!$A:$A,MATCH($R654,Investment!$H:$H,0))),)</f>
        <v/>
      </c>
      <c r="R654" s="36" t="str">
        <f t="array" ref="R654">IF(AND($Y654="change",$H654="EUR"),IF(AND($AA654="Crédit",$O654=$O655),$R655,IF(AND($AA654="Débit",$O654=$O653),$R653)),IF(OR(AND(OR($E654&lt;&gt;"",$M654=""),$N654&lt;&gt;0),$A654=""),IFERROR(INDEX(Investment!$H:$H,MATCH($E654,Investment!$F:$F,0))),IFERROR(INDEX($R655:$R1119,MATCH(SUBSTITUTE($I654,"-","",1),$K655:$K1119,0)),INDEX($R655:$R1119,MATCH($K654,$K655:$K1119,0)))))</f>
        <v/>
      </c>
      <c r="S654" s="35" t="str">
        <f t="shared" si="2"/>
        <v/>
      </c>
      <c r="T654" s="37" t="str">
        <f t="shared" si="3"/>
        <v/>
      </c>
      <c r="U654" s="38" t="str">
        <f t="shared" si="4"/>
        <v/>
      </c>
      <c r="V654" s="31" t="str">
        <f t="shared" si="5"/>
        <v/>
      </c>
      <c r="W654" s="39" t="str">
        <f>IFERROR(__xludf.DUMMYFUNCTION(" IF(Account!$F654&lt;&gt;"""", SPLIT(Account!$F654, "" ""), """")"),"")</f>
        <v/>
      </c>
      <c r="X654" s="40"/>
      <c r="Y654" s="40"/>
      <c r="Z654" s="40"/>
      <c r="AA654" s="40"/>
      <c r="AB654" s="40"/>
      <c r="AC654" s="40"/>
      <c r="AD654" s="40"/>
      <c r="AE654" s="40"/>
      <c r="AF654" s="40"/>
      <c r="AG654" s="40"/>
      <c r="AH654" s="40"/>
      <c r="AI654" s="40"/>
      <c r="AJ654" s="40"/>
      <c r="AK654" s="40"/>
    </row>
    <row r="655">
      <c r="A655" s="300"/>
      <c r="B655" s="300"/>
      <c r="C655" s="300"/>
      <c r="D655" s="300"/>
      <c r="E655" s="300"/>
      <c r="F655" s="329"/>
      <c r="G655" s="300"/>
      <c r="H655" s="300"/>
      <c r="I655" s="300"/>
      <c r="J655" s="300"/>
      <c r="K655" s="300"/>
      <c r="L655" s="329"/>
      <c r="M655" s="29" t="str">
        <f t="shared" si="1"/>
        <v/>
      </c>
      <c r="N655" s="31" t="str">
        <f>IFERROR(__xludf.DUMMYFUNCTION("IF(Account!$F655&lt;&gt;"""", VALUE(REGEXREPLACE($I655, ""\,"", ""."")), """")"),"")</f>
        <v/>
      </c>
      <c r="O655" s="33" t="str">
        <f>IF(Account!$F655&lt;&gt;"", DATEVALUE(MID($A655,4,3) &amp; LEFT($A655,3) &amp; RIGHT($A655,4)) + TIMEVALUE($B655), "")</f>
        <v/>
      </c>
      <c r="P655" s="34" t="str">
        <f>IF(Account!$F655&lt;&gt;"", DATEVALUE(MID($C655,4,3) &amp; LEFT($C655,3) &amp; RIGHT($C655,4)), "")</f>
        <v/>
      </c>
      <c r="Q655" s="35" t="str">
        <f t="array" ref="Q655">IF($R655&lt;&gt;"",IFERROR(INDEX(Investment!$A:$A,MATCH($R655,Investment!$H:$H,0))),)</f>
        <v/>
      </c>
      <c r="R655" s="36" t="str">
        <f t="array" ref="R655">IF(AND($Y655="change",$H655="EUR"),IF(AND($AA655="Crédit",$O655=$O656),$R656,IF(AND($AA655="Débit",$O655=$O654),$R654)),IF(OR(AND(OR($E655&lt;&gt;"",$M655=""),$N655&lt;&gt;0),$A655=""),IFERROR(INDEX(Investment!$H:$H,MATCH($E655,Investment!$F:$F,0))),IFERROR(INDEX($R656:$R1119,MATCH(SUBSTITUTE($I655,"-","",1),$K656:$K1119,0)),INDEX($R656:$R1119,MATCH($K655,$K656:$K1119,0)))))</f>
        <v/>
      </c>
      <c r="S655" s="35" t="str">
        <f t="shared" si="2"/>
        <v/>
      </c>
      <c r="T655" s="37" t="str">
        <f t="shared" si="3"/>
        <v/>
      </c>
      <c r="U655" s="38" t="str">
        <f t="shared" si="4"/>
        <v/>
      </c>
      <c r="V655" s="31" t="str">
        <f t="shared" si="5"/>
        <v/>
      </c>
      <c r="W655" s="39" t="str">
        <f>IFERROR(__xludf.DUMMYFUNCTION(" IF(Account!$F655&lt;&gt;"""", SPLIT(Account!$F655, "" ""), """")"),"")</f>
        <v/>
      </c>
      <c r="X655" s="40"/>
      <c r="Y655" s="40"/>
      <c r="Z655" s="40"/>
      <c r="AA655" s="40"/>
      <c r="AB655" s="40"/>
      <c r="AC655" s="40"/>
      <c r="AD655" s="40"/>
      <c r="AE655" s="40"/>
      <c r="AF655" s="40"/>
      <c r="AG655" s="40"/>
      <c r="AH655" s="40"/>
      <c r="AI655" s="40"/>
      <c r="AJ655" s="40"/>
      <c r="AK655" s="40"/>
    </row>
    <row r="656">
      <c r="A656" s="300"/>
      <c r="B656" s="300"/>
      <c r="C656" s="300"/>
      <c r="D656" s="300"/>
      <c r="E656" s="300"/>
      <c r="F656" s="329"/>
      <c r="G656" s="300"/>
      <c r="H656" s="300"/>
      <c r="I656" s="300"/>
      <c r="J656" s="300"/>
      <c r="K656" s="300"/>
      <c r="L656" s="329"/>
      <c r="M656" s="29" t="str">
        <f t="shared" si="1"/>
        <v/>
      </c>
      <c r="N656" s="31" t="str">
        <f>IFERROR(__xludf.DUMMYFUNCTION("IF(Account!$F656&lt;&gt;"""", VALUE(REGEXREPLACE($I656, ""\,"", ""."")), """")"),"")</f>
        <v/>
      </c>
      <c r="O656" s="33" t="str">
        <f>IF(Account!$F656&lt;&gt;"", DATEVALUE(MID($A656,4,3) &amp; LEFT($A656,3) &amp; RIGHT($A656,4)) + TIMEVALUE($B656), "")</f>
        <v/>
      </c>
      <c r="P656" s="34" t="str">
        <f>IF(Account!$F656&lt;&gt;"", DATEVALUE(MID($C656,4,3) &amp; LEFT($C656,3) &amp; RIGHT($C656,4)), "")</f>
        <v/>
      </c>
      <c r="Q656" s="35" t="str">
        <f t="array" ref="Q656">IF($R656&lt;&gt;"",IFERROR(INDEX(Investment!$A:$A,MATCH($R656,Investment!$H:$H,0))),)</f>
        <v/>
      </c>
      <c r="R656" s="36" t="str">
        <f t="array" ref="R656">IF(AND($Y656="change",$H656="EUR"),IF(AND($AA656="Crédit",$O656=$O657),$R657,IF(AND($AA656="Débit",$O656=$O655),$R655)),IF(OR(AND(OR($E656&lt;&gt;"",$M656=""),$N656&lt;&gt;0),$A656=""),IFERROR(INDEX(Investment!$H:$H,MATCH($E656,Investment!$F:$F,0))),IFERROR(INDEX($R657:$R1119,MATCH(SUBSTITUTE($I656,"-","",1),$K657:$K1119,0)),INDEX($R657:$R1119,MATCH($K656,$K657:$K1119,0)))))</f>
        <v/>
      </c>
      <c r="S656" s="35" t="str">
        <f t="shared" si="2"/>
        <v/>
      </c>
      <c r="T656" s="37" t="str">
        <f t="shared" si="3"/>
        <v/>
      </c>
      <c r="U656" s="38" t="str">
        <f t="shared" si="4"/>
        <v/>
      </c>
      <c r="V656" s="31" t="str">
        <f t="shared" si="5"/>
        <v/>
      </c>
      <c r="W656" s="39" t="str">
        <f>IFERROR(__xludf.DUMMYFUNCTION(" IF(Account!$F656&lt;&gt;"""", SPLIT(Account!$F656, "" ""), """")"),"")</f>
        <v/>
      </c>
      <c r="X656" s="40"/>
      <c r="Y656" s="40"/>
      <c r="Z656" s="40"/>
      <c r="AA656" s="40"/>
      <c r="AB656" s="40"/>
      <c r="AC656" s="40"/>
      <c r="AD656" s="40"/>
      <c r="AE656" s="40"/>
      <c r="AF656" s="40"/>
      <c r="AG656" s="40"/>
      <c r="AH656" s="40"/>
      <c r="AI656" s="40"/>
      <c r="AJ656" s="40"/>
      <c r="AK656" s="40"/>
    </row>
    <row r="657">
      <c r="A657" s="300"/>
      <c r="B657" s="300"/>
      <c r="C657" s="300"/>
      <c r="D657" s="300"/>
      <c r="E657" s="300"/>
      <c r="F657" s="329"/>
      <c r="G657" s="300"/>
      <c r="H657" s="300"/>
      <c r="I657" s="300"/>
      <c r="J657" s="300"/>
      <c r="K657" s="300"/>
      <c r="L657" s="329"/>
      <c r="M657" s="29" t="str">
        <f t="shared" si="1"/>
        <v/>
      </c>
      <c r="N657" s="31" t="str">
        <f>IFERROR(__xludf.DUMMYFUNCTION("IF(Account!$F657&lt;&gt;"""", VALUE(REGEXREPLACE($I657, ""\,"", ""."")), """")"),"")</f>
        <v/>
      </c>
      <c r="O657" s="33" t="str">
        <f>IF(Account!$F657&lt;&gt;"", DATEVALUE(MID($A657,4,3) &amp; LEFT($A657,3) &amp; RIGHT($A657,4)) + TIMEVALUE($B657), "")</f>
        <v/>
      </c>
      <c r="P657" s="34" t="str">
        <f>IF(Account!$F657&lt;&gt;"", DATEVALUE(MID($C657,4,3) &amp; LEFT($C657,3) &amp; RIGHT($C657,4)), "")</f>
        <v/>
      </c>
      <c r="Q657" s="35" t="str">
        <f t="array" ref="Q657">IF($R657&lt;&gt;"",IFERROR(INDEX(Investment!$A:$A,MATCH($R657,Investment!$H:$H,0))),)</f>
        <v/>
      </c>
      <c r="R657" s="36" t="str">
        <f t="array" ref="R657">IF(AND($Y657="change",$H657="EUR"),IF(AND($AA657="Crédit",$O657=$O658),$R658,IF(AND($AA657="Débit",$O657=$O656),$R656)),IF(OR(AND(OR($E657&lt;&gt;"",$M657=""),$N657&lt;&gt;0),$A657=""),IFERROR(INDEX(Investment!$H:$H,MATCH($E657,Investment!$F:$F,0))),IFERROR(INDEX($R658:$R1119,MATCH(SUBSTITUTE($I657,"-","",1),$K658:$K1119,0)),INDEX($R658:$R1119,MATCH($K657,$K658:$K1119,0)))))</f>
        <v/>
      </c>
      <c r="S657" s="35" t="str">
        <f t="shared" si="2"/>
        <v/>
      </c>
      <c r="T657" s="37" t="str">
        <f t="shared" si="3"/>
        <v/>
      </c>
      <c r="U657" s="38" t="str">
        <f t="shared" si="4"/>
        <v/>
      </c>
      <c r="V657" s="31" t="str">
        <f t="shared" si="5"/>
        <v/>
      </c>
      <c r="W657" s="39" t="str">
        <f>IFERROR(__xludf.DUMMYFUNCTION(" IF(Account!$F657&lt;&gt;"""", SPLIT(Account!$F657, "" ""), """")"),"")</f>
        <v/>
      </c>
      <c r="X657" s="40"/>
      <c r="Y657" s="40"/>
      <c r="Z657" s="40"/>
      <c r="AA657" s="40"/>
      <c r="AB657" s="40"/>
      <c r="AC657" s="40"/>
      <c r="AD657" s="40"/>
      <c r="AE657" s="40"/>
      <c r="AF657" s="40"/>
      <c r="AG657" s="40"/>
      <c r="AH657" s="40"/>
      <c r="AI657" s="40"/>
      <c r="AJ657" s="40"/>
      <c r="AK657" s="40"/>
    </row>
    <row r="658">
      <c r="A658" s="300"/>
      <c r="B658" s="300"/>
      <c r="C658" s="300"/>
      <c r="D658" s="300"/>
      <c r="E658" s="300"/>
      <c r="F658" s="329"/>
      <c r="G658" s="300"/>
      <c r="H658" s="300"/>
      <c r="I658" s="300"/>
      <c r="J658" s="300"/>
      <c r="K658" s="300"/>
      <c r="L658" s="329"/>
      <c r="M658" s="29" t="str">
        <f t="shared" si="1"/>
        <v/>
      </c>
      <c r="N658" s="31" t="str">
        <f>IFERROR(__xludf.DUMMYFUNCTION("IF(Account!$F658&lt;&gt;"""", VALUE(REGEXREPLACE($I658, ""\,"", ""."")), """")"),"")</f>
        <v/>
      </c>
      <c r="O658" s="33" t="str">
        <f>IF(Account!$F658&lt;&gt;"", DATEVALUE(MID($A658,4,3) &amp; LEFT($A658,3) &amp; RIGHT($A658,4)) + TIMEVALUE($B658), "")</f>
        <v/>
      </c>
      <c r="P658" s="34" t="str">
        <f>IF(Account!$F658&lt;&gt;"", DATEVALUE(MID($C658,4,3) &amp; LEFT($C658,3) &amp; RIGHT($C658,4)), "")</f>
        <v/>
      </c>
      <c r="Q658" s="35" t="str">
        <f t="array" ref="Q658">IF($R658&lt;&gt;"",IFERROR(INDEX(Investment!$A:$A,MATCH($R658,Investment!$H:$H,0))),)</f>
        <v/>
      </c>
      <c r="R658" s="36" t="str">
        <f t="array" ref="R658">IF(AND($Y658="change",$H658="EUR"),IF(AND($AA658="Crédit",$O658=$O659),$R659,IF(AND($AA658="Débit",$O658=$O657),$R657)),IF(OR(AND(OR($E658&lt;&gt;"",$M658=""),$N658&lt;&gt;0),$A658=""),IFERROR(INDEX(Investment!$H:$H,MATCH($E658,Investment!$F:$F,0))),IFERROR(INDEX($R659:$R1119,MATCH(SUBSTITUTE($I658,"-","",1),$K659:$K1119,0)),INDEX($R659:$R1119,MATCH($K658,$K659:$K1119,0)))))</f>
        <v/>
      </c>
      <c r="S658" s="35" t="str">
        <f t="shared" si="2"/>
        <v/>
      </c>
      <c r="T658" s="37" t="str">
        <f t="shared" si="3"/>
        <v/>
      </c>
      <c r="U658" s="38" t="str">
        <f t="shared" si="4"/>
        <v/>
      </c>
      <c r="V658" s="31" t="str">
        <f t="shared" si="5"/>
        <v/>
      </c>
      <c r="W658" s="39" t="str">
        <f>IFERROR(__xludf.DUMMYFUNCTION(" IF(Account!$F658&lt;&gt;"""", SPLIT(Account!$F658, "" ""), """")"),"")</f>
        <v/>
      </c>
      <c r="X658" s="40"/>
      <c r="Y658" s="40"/>
      <c r="Z658" s="40"/>
      <c r="AA658" s="40"/>
      <c r="AB658" s="40"/>
      <c r="AC658" s="40"/>
      <c r="AD658" s="40"/>
      <c r="AE658" s="40"/>
      <c r="AF658" s="40"/>
      <c r="AG658" s="40"/>
      <c r="AH658" s="40"/>
      <c r="AI658" s="40"/>
      <c r="AJ658" s="40"/>
      <c r="AK658" s="40"/>
    </row>
    <row r="659">
      <c r="A659" s="300"/>
      <c r="B659" s="300"/>
      <c r="C659" s="300"/>
      <c r="D659" s="300"/>
      <c r="E659" s="300"/>
      <c r="F659" s="329"/>
      <c r="G659" s="300"/>
      <c r="H659" s="300"/>
      <c r="I659" s="300"/>
      <c r="J659" s="300"/>
      <c r="K659" s="300"/>
      <c r="L659" s="329"/>
      <c r="M659" s="29" t="str">
        <f t="shared" si="1"/>
        <v/>
      </c>
      <c r="N659" s="31" t="str">
        <f>IFERROR(__xludf.DUMMYFUNCTION("IF(Account!$F659&lt;&gt;"""", VALUE(REGEXREPLACE($I659, ""\,"", ""."")), """")"),"")</f>
        <v/>
      </c>
      <c r="O659" s="33" t="str">
        <f>IF(Account!$F659&lt;&gt;"", DATEVALUE(MID($A659,4,3) &amp; LEFT($A659,3) &amp; RIGHT($A659,4)) + TIMEVALUE($B659), "")</f>
        <v/>
      </c>
      <c r="P659" s="34" t="str">
        <f>IF(Account!$F659&lt;&gt;"", DATEVALUE(MID($C659,4,3) &amp; LEFT($C659,3) &amp; RIGHT($C659,4)), "")</f>
        <v/>
      </c>
      <c r="Q659" s="35" t="str">
        <f t="array" ref="Q659">IF($R659&lt;&gt;"",IFERROR(INDEX(Investment!$A:$A,MATCH($R659,Investment!$H:$H,0))),)</f>
        <v/>
      </c>
      <c r="R659" s="36" t="str">
        <f t="array" ref="R659">IF(AND($Y659="change",$H659="EUR"),IF(AND($AA659="Crédit",$O659=$O660),$R660,IF(AND($AA659="Débit",$O659=$O658),$R658)),IF(OR(AND(OR($E659&lt;&gt;"",$M659=""),$N659&lt;&gt;0),$A659=""),IFERROR(INDEX(Investment!$H:$H,MATCH($E659,Investment!$F:$F,0))),IFERROR(INDEX($R660:$R1119,MATCH(SUBSTITUTE($I659,"-","",1),$K660:$K1119,0)),INDEX($R660:$R1119,MATCH($K659,$K660:$K1119,0)))))</f>
        <v/>
      </c>
      <c r="S659" s="35" t="str">
        <f t="shared" si="2"/>
        <v/>
      </c>
      <c r="T659" s="37" t="str">
        <f t="shared" si="3"/>
        <v/>
      </c>
      <c r="U659" s="38" t="str">
        <f t="shared" si="4"/>
        <v/>
      </c>
      <c r="V659" s="31" t="str">
        <f t="shared" si="5"/>
        <v/>
      </c>
      <c r="W659" s="39" t="str">
        <f>IFERROR(__xludf.DUMMYFUNCTION(" IF(Account!$F659&lt;&gt;"""", SPLIT(Account!$F659, "" ""), """")"),"")</f>
        <v/>
      </c>
      <c r="X659" s="40"/>
      <c r="Y659" s="40"/>
      <c r="Z659" s="40"/>
      <c r="AA659" s="40"/>
      <c r="AB659" s="40"/>
      <c r="AC659" s="40"/>
      <c r="AD659" s="40"/>
      <c r="AE659" s="40"/>
      <c r="AF659" s="40"/>
      <c r="AG659" s="40"/>
      <c r="AH659" s="40"/>
      <c r="AI659" s="40"/>
      <c r="AJ659" s="40"/>
      <c r="AK659" s="40"/>
    </row>
    <row r="660">
      <c r="A660" s="300"/>
      <c r="B660" s="300"/>
      <c r="C660" s="300"/>
      <c r="D660" s="300"/>
      <c r="E660" s="300"/>
      <c r="F660" s="329"/>
      <c r="G660" s="300"/>
      <c r="H660" s="300"/>
      <c r="I660" s="300"/>
      <c r="J660" s="300"/>
      <c r="K660" s="300"/>
      <c r="L660" s="329"/>
      <c r="M660" s="29" t="str">
        <f t="shared" si="1"/>
        <v/>
      </c>
      <c r="N660" s="31" t="str">
        <f>IFERROR(__xludf.DUMMYFUNCTION("IF(Account!$F660&lt;&gt;"""", VALUE(REGEXREPLACE($I660, ""\,"", ""."")), """")"),"")</f>
        <v/>
      </c>
      <c r="O660" s="33" t="str">
        <f>IF(Account!$F660&lt;&gt;"", DATEVALUE(MID($A660,4,3) &amp; LEFT($A660,3) &amp; RIGHT($A660,4)) + TIMEVALUE($B660), "")</f>
        <v/>
      </c>
      <c r="P660" s="34" t="str">
        <f>IF(Account!$F660&lt;&gt;"", DATEVALUE(MID($C660,4,3) &amp; LEFT($C660,3) &amp; RIGHT($C660,4)), "")</f>
        <v/>
      </c>
      <c r="Q660" s="35" t="str">
        <f t="array" ref="Q660">IF($R660&lt;&gt;"",IFERROR(INDEX(Investment!$A:$A,MATCH($R660,Investment!$H:$H,0))),)</f>
        <v/>
      </c>
      <c r="R660" s="36" t="str">
        <f t="array" ref="R660">IF(AND($Y660="change",$H660="EUR"),IF(AND($AA660="Crédit",$O660=$O661),$R661,IF(AND($AA660="Débit",$O660=$O659),$R659)),IF(OR(AND(OR($E660&lt;&gt;"",$M660=""),$N660&lt;&gt;0),$A660=""),IFERROR(INDEX(Investment!$H:$H,MATCH($E660,Investment!$F:$F,0))),IFERROR(INDEX($R661:$R1119,MATCH(SUBSTITUTE($I660,"-","",1),$K661:$K1119,0)),INDEX($R661:$R1119,MATCH($K660,$K661:$K1119,0)))))</f>
        <v/>
      </c>
      <c r="S660" s="35" t="str">
        <f t="shared" si="2"/>
        <v/>
      </c>
      <c r="T660" s="37" t="str">
        <f t="shared" si="3"/>
        <v/>
      </c>
      <c r="U660" s="38" t="str">
        <f t="shared" si="4"/>
        <v/>
      </c>
      <c r="V660" s="31" t="str">
        <f t="shared" si="5"/>
        <v/>
      </c>
      <c r="W660" s="39" t="str">
        <f>IFERROR(__xludf.DUMMYFUNCTION(" IF(Account!$F660&lt;&gt;"""", SPLIT(Account!$F660, "" ""), """")"),"")</f>
        <v/>
      </c>
      <c r="X660" s="40"/>
      <c r="Y660" s="40"/>
      <c r="Z660" s="40"/>
      <c r="AA660" s="40"/>
      <c r="AB660" s="40"/>
      <c r="AC660" s="40"/>
      <c r="AD660" s="40"/>
      <c r="AE660" s="40"/>
      <c r="AF660" s="40"/>
      <c r="AG660" s="40"/>
      <c r="AH660" s="40"/>
      <c r="AI660" s="40"/>
      <c r="AJ660" s="40"/>
      <c r="AK660" s="40"/>
    </row>
    <row r="661">
      <c r="A661" s="300"/>
      <c r="B661" s="300"/>
      <c r="C661" s="300"/>
      <c r="D661" s="300"/>
      <c r="E661" s="300"/>
      <c r="F661" s="329"/>
      <c r="G661" s="300"/>
      <c r="H661" s="300"/>
      <c r="I661" s="300"/>
      <c r="J661" s="300"/>
      <c r="K661" s="300"/>
      <c r="L661" s="329"/>
      <c r="M661" s="29" t="str">
        <f t="shared" si="1"/>
        <v/>
      </c>
      <c r="N661" s="31" t="str">
        <f>IFERROR(__xludf.DUMMYFUNCTION("IF(Account!$F661&lt;&gt;"""", VALUE(REGEXREPLACE($I661, ""\,"", ""."")), """")"),"")</f>
        <v/>
      </c>
      <c r="O661" s="33" t="str">
        <f>IF(Account!$F661&lt;&gt;"", DATEVALUE(MID($A661,4,3) &amp; LEFT($A661,3) &amp; RIGHT($A661,4)) + TIMEVALUE($B661), "")</f>
        <v/>
      </c>
      <c r="P661" s="34" t="str">
        <f>IF(Account!$F661&lt;&gt;"", DATEVALUE(MID($C661,4,3) &amp; LEFT($C661,3) &amp; RIGHT($C661,4)), "")</f>
        <v/>
      </c>
      <c r="Q661" s="35" t="str">
        <f t="array" ref="Q661">IF($R661&lt;&gt;"",IFERROR(INDEX(Investment!$A:$A,MATCH($R661,Investment!$H:$H,0))),)</f>
        <v/>
      </c>
      <c r="R661" s="36" t="str">
        <f t="array" ref="R661">IF(AND($Y661="change",$H661="EUR"),IF(AND($AA661="Crédit",$O661=$O662),$R662,IF(AND($AA661="Débit",$O661=$O660),$R660)),IF(OR(AND(OR($E661&lt;&gt;"",$M661=""),$N661&lt;&gt;0),$A661=""),IFERROR(INDEX(Investment!$H:$H,MATCH($E661,Investment!$F:$F,0))),IFERROR(INDEX($R662:$R1119,MATCH(SUBSTITUTE($I661,"-","",1),$K662:$K1119,0)),INDEX($R662:$R1119,MATCH($K661,$K662:$K1119,0)))))</f>
        <v/>
      </c>
      <c r="S661" s="35" t="str">
        <f t="shared" si="2"/>
        <v/>
      </c>
      <c r="T661" s="37" t="str">
        <f t="shared" si="3"/>
        <v/>
      </c>
      <c r="U661" s="38" t="str">
        <f t="shared" si="4"/>
        <v/>
      </c>
      <c r="V661" s="31" t="str">
        <f t="shared" si="5"/>
        <v/>
      </c>
      <c r="W661" s="39" t="str">
        <f>IFERROR(__xludf.DUMMYFUNCTION(" IF(Account!$F661&lt;&gt;"""", SPLIT(Account!$F661, "" ""), """")"),"")</f>
        <v/>
      </c>
      <c r="X661" s="40"/>
      <c r="Y661" s="40"/>
      <c r="Z661" s="40"/>
      <c r="AA661" s="40"/>
      <c r="AB661" s="40"/>
      <c r="AC661" s="40"/>
      <c r="AD661" s="40"/>
      <c r="AE661" s="40"/>
      <c r="AF661" s="40"/>
      <c r="AG661" s="40"/>
      <c r="AH661" s="40"/>
      <c r="AI661" s="40"/>
      <c r="AJ661" s="40"/>
      <c r="AK661" s="40"/>
    </row>
    <row r="662">
      <c r="A662" s="300"/>
      <c r="B662" s="300"/>
      <c r="C662" s="300"/>
      <c r="D662" s="300"/>
      <c r="E662" s="300"/>
      <c r="F662" s="329"/>
      <c r="G662" s="300"/>
      <c r="H662" s="300"/>
      <c r="I662" s="300"/>
      <c r="J662" s="300"/>
      <c r="K662" s="300"/>
      <c r="L662" s="329"/>
      <c r="M662" s="29" t="str">
        <f t="shared" si="1"/>
        <v/>
      </c>
      <c r="N662" s="31" t="str">
        <f>IFERROR(__xludf.DUMMYFUNCTION("IF(Account!$F662&lt;&gt;"""", VALUE(REGEXREPLACE($I662, ""\,"", ""."")), """")"),"")</f>
        <v/>
      </c>
      <c r="O662" s="33" t="str">
        <f>IF(Account!$F662&lt;&gt;"", DATEVALUE(MID($A662,4,3) &amp; LEFT($A662,3) &amp; RIGHT($A662,4)) + TIMEVALUE($B662), "")</f>
        <v/>
      </c>
      <c r="P662" s="34" t="str">
        <f>IF(Account!$F662&lt;&gt;"", DATEVALUE(MID($C662,4,3) &amp; LEFT($C662,3) &amp; RIGHT($C662,4)), "")</f>
        <v/>
      </c>
      <c r="Q662" s="35" t="str">
        <f t="array" ref="Q662">IF($R662&lt;&gt;"",IFERROR(INDEX(Investment!$A:$A,MATCH($R662,Investment!$H:$H,0))),)</f>
        <v/>
      </c>
      <c r="R662" s="36" t="str">
        <f t="array" ref="R662">IF(AND($Y662="change",$H662="EUR"),IF(AND($AA662="Crédit",$O662=$O663),$R663,IF(AND($AA662="Débit",$O662=$O661),$R661)),IF(OR(AND(OR($E662&lt;&gt;"",$M662=""),$N662&lt;&gt;0),$A662=""),IFERROR(INDEX(Investment!$H:$H,MATCH($E662,Investment!$F:$F,0))),IFERROR(INDEX($R663:$R1119,MATCH(SUBSTITUTE($I662,"-","",1),$K663:$K1119,0)),INDEX($R663:$R1119,MATCH($K662,$K663:$K1119,0)))))</f>
        <v/>
      </c>
      <c r="S662" s="35" t="str">
        <f t="shared" si="2"/>
        <v/>
      </c>
      <c r="T662" s="37" t="str">
        <f t="shared" si="3"/>
        <v/>
      </c>
      <c r="U662" s="38" t="str">
        <f t="shared" si="4"/>
        <v/>
      </c>
      <c r="V662" s="31" t="str">
        <f t="shared" si="5"/>
        <v/>
      </c>
      <c r="W662" s="39" t="str">
        <f>IFERROR(__xludf.DUMMYFUNCTION(" IF(Account!$F662&lt;&gt;"""", SPLIT(Account!$F662, "" ""), """")"),"")</f>
        <v/>
      </c>
      <c r="X662" s="40"/>
      <c r="Y662" s="40"/>
      <c r="Z662" s="40"/>
      <c r="AA662" s="40"/>
      <c r="AB662" s="40"/>
      <c r="AC662" s="40"/>
      <c r="AD662" s="40"/>
      <c r="AE662" s="40"/>
      <c r="AF662" s="40"/>
      <c r="AG662" s="40"/>
      <c r="AH662" s="40"/>
      <c r="AI662" s="40"/>
      <c r="AJ662" s="40"/>
      <c r="AK662" s="40"/>
    </row>
    <row r="663">
      <c r="A663" s="300"/>
      <c r="B663" s="300"/>
      <c r="C663" s="300"/>
      <c r="D663" s="300"/>
      <c r="E663" s="300"/>
      <c r="F663" s="329"/>
      <c r="G663" s="300"/>
      <c r="H663" s="300"/>
      <c r="I663" s="300"/>
      <c r="J663" s="300"/>
      <c r="K663" s="300"/>
      <c r="L663" s="329"/>
      <c r="M663" s="29" t="str">
        <f t="shared" si="1"/>
        <v/>
      </c>
      <c r="N663" s="31" t="str">
        <f>IFERROR(__xludf.DUMMYFUNCTION("IF(Account!$F663&lt;&gt;"""", VALUE(REGEXREPLACE($I663, ""\,"", ""."")), """")"),"")</f>
        <v/>
      </c>
      <c r="O663" s="33" t="str">
        <f>IF(Account!$F663&lt;&gt;"", DATEVALUE(MID($A663,4,3) &amp; LEFT($A663,3) &amp; RIGHT($A663,4)) + TIMEVALUE($B663), "")</f>
        <v/>
      </c>
      <c r="P663" s="34" t="str">
        <f>IF(Account!$F663&lt;&gt;"", DATEVALUE(MID($C663,4,3) &amp; LEFT($C663,3) &amp; RIGHT($C663,4)), "")</f>
        <v/>
      </c>
      <c r="Q663" s="35" t="str">
        <f t="array" ref="Q663">IF($R663&lt;&gt;"",IFERROR(INDEX(Investment!$A:$A,MATCH($R663,Investment!$H:$H,0))),)</f>
        <v/>
      </c>
      <c r="R663" s="36" t="str">
        <f t="array" ref="R663">IF(AND($Y663="change",$H663="EUR"),IF(AND($AA663="Crédit",$O663=$O664),$R664,IF(AND($AA663="Débit",$O663=$O662),$R662)),IF(OR(AND(OR($E663&lt;&gt;"",$M663=""),$N663&lt;&gt;0),$A663=""),IFERROR(INDEX(Investment!$H:$H,MATCH($E663,Investment!$F:$F,0))),IFERROR(INDEX($R664:$R1119,MATCH(SUBSTITUTE($I663,"-","",1),$K664:$K1119,0)),INDEX($R664:$R1119,MATCH($K663,$K664:$K1119,0)))))</f>
        <v/>
      </c>
      <c r="S663" s="35" t="str">
        <f t="shared" si="2"/>
        <v/>
      </c>
      <c r="T663" s="37" t="str">
        <f t="shared" si="3"/>
        <v/>
      </c>
      <c r="U663" s="38" t="str">
        <f t="shared" si="4"/>
        <v/>
      </c>
      <c r="V663" s="31" t="str">
        <f t="shared" si="5"/>
        <v/>
      </c>
      <c r="W663" s="39" t="str">
        <f>IFERROR(__xludf.DUMMYFUNCTION(" IF(Account!$F663&lt;&gt;"""", SPLIT(Account!$F663, "" ""), """")"),"")</f>
        <v/>
      </c>
      <c r="X663" s="40"/>
      <c r="Y663" s="40"/>
      <c r="Z663" s="40"/>
      <c r="AA663" s="40"/>
      <c r="AB663" s="40"/>
      <c r="AC663" s="40"/>
      <c r="AD663" s="40"/>
      <c r="AE663" s="40"/>
      <c r="AF663" s="40"/>
      <c r="AG663" s="40"/>
      <c r="AH663" s="40"/>
      <c r="AI663" s="40"/>
      <c r="AJ663" s="40"/>
      <c r="AK663" s="40"/>
    </row>
    <row r="664">
      <c r="A664" s="300"/>
      <c r="B664" s="300"/>
      <c r="C664" s="300"/>
      <c r="D664" s="300"/>
      <c r="E664" s="300"/>
      <c r="F664" s="329"/>
      <c r="G664" s="300"/>
      <c r="H664" s="300"/>
      <c r="I664" s="300"/>
      <c r="J664" s="300"/>
      <c r="K664" s="300"/>
      <c r="L664" s="329"/>
      <c r="M664" s="29" t="str">
        <f t="shared" si="1"/>
        <v/>
      </c>
      <c r="N664" s="31" t="str">
        <f>IFERROR(__xludf.DUMMYFUNCTION("IF(Account!$F664&lt;&gt;"""", VALUE(REGEXREPLACE($I664, ""\,"", ""."")), """")"),"")</f>
        <v/>
      </c>
      <c r="O664" s="33" t="str">
        <f>IF(Account!$F664&lt;&gt;"", DATEVALUE(MID($A664,4,3) &amp; LEFT($A664,3) &amp; RIGHT($A664,4)) + TIMEVALUE($B664), "")</f>
        <v/>
      </c>
      <c r="P664" s="34" t="str">
        <f>IF(Account!$F664&lt;&gt;"", DATEVALUE(MID($C664,4,3) &amp; LEFT($C664,3) &amp; RIGHT($C664,4)), "")</f>
        <v/>
      </c>
      <c r="Q664" s="35" t="str">
        <f t="array" ref="Q664">IF($R664&lt;&gt;"",IFERROR(INDEX(Investment!$A:$A,MATCH($R664,Investment!$H:$H,0))),)</f>
        <v/>
      </c>
      <c r="R664" s="36" t="str">
        <f t="array" ref="R664">IF(AND($Y664="change",$H664="EUR"),IF(AND($AA664="Crédit",$O664=$O665),$R665,IF(AND($AA664="Débit",$O664=$O663),$R663)),IF(OR(AND(OR($E664&lt;&gt;"",$M664=""),$N664&lt;&gt;0),$A664=""),IFERROR(INDEX(Investment!$H:$H,MATCH($E664,Investment!$F:$F,0))),IFERROR(INDEX($R665:$R1119,MATCH(SUBSTITUTE($I664,"-","",1),$K665:$K1119,0)),INDEX($R665:$R1119,MATCH($K664,$K665:$K1119,0)))))</f>
        <v/>
      </c>
      <c r="S664" s="35" t="str">
        <f t="shared" si="2"/>
        <v/>
      </c>
      <c r="T664" s="37" t="str">
        <f t="shared" si="3"/>
        <v/>
      </c>
      <c r="U664" s="38" t="str">
        <f t="shared" si="4"/>
        <v/>
      </c>
      <c r="V664" s="31" t="str">
        <f t="shared" si="5"/>
        <v/>
      </c>
      <c r="W664" s="39" t="str">
        <f>IFERROR(__xludf.DUMMYFUNCTION(" IF(Account!$F664&lt;&gt;"""", SPLIT(Account!$F664, "" ""), """")"),"")</f>
        <v/>
      </c>
      <c r="X664" s="40"/>
      <c r="Y664" s="40"/>
      <c r="Z664" s="40"/>
      <c r="AA664" s="40"/>
      <c r="AB664" s="40"/>
      <c r="AC664" s="40"/>
      <c r="AD664" s="40"/>
      <c r="AE664" s="40"/>
      <c r="AF664" s="40"/>
      <c r="AG664" s="40"/>
      <c r="AH664" s="40"/>
      <c r="AI664" s="40"/>
      <c r="AJ664" s="40"/>
      <c r="AK664" s="40"/>
    </row>
    <row r="665">
      <c r="A665" s="300"/>
      <c r="B665" s="300"/>
      <c r="C665" s="300"/>
      <c r="D665" s="300"/>
      <c r="E665" s="300"/>
      <c r="F665" s="329"/>
      <c r="G665" s="300"/>
      <c r="H665" s="300"/>
      <c r="I665" s="300"/>
      <c r="J665" s="300"/>
      <c r="K665" s="300"/>
      <c r="L665" s="329"/>
      <c r="M665" s="29" t="str">
        <f t="shared" si="1"/>
        <v/>
      </c>
      <c r="N665" s="31" t="str">
        <f>IFERROR(__xludf.DUMMYFUNCTION("IF(Account!$F665&lt;&gt;"""", VALUE(REGEXREPLACE($I665, ""\,"", ""."")), """")"),"")</f>
        <v/>
      </c>
      <c r="O665" s="33" t="str">
        <f>IF(Account!$F665&lt;&gt;"", DATEVALUE(MID($A665,4,3) &amp; LEFT($A665,3) &amp; RIGHT($A665,4)) + TIMEVALUE($B665), "")</f>
        <v/>
      </c>
      <c r="P665" s="34" t="str">
        <f>IF(Account!$F665&lt;&gt;"", DATEVALUE(MID($C665,4,3) &amp; LEFT($C665,3) &amp; RIGHT($C665,4)), "")</f>
        <v/>
      </c>
      <c r="Q665" s="35" t="str">
        <f t="array" ref="Q665">IF($R665&lt;&gt;"",IFERROR(INDEX(Investment!$A:$A,MATCH($R665,Investment!$H:$H,0))),)</f>
        <v/>
      </c>
      <c r="R665" s="36" t="str">
        <f t="array" ref="R665">IF(AND($Y665="change",$H665="EUR"),IF(AND($AA665="Crédit",$O665=$O666),$R666,IF(AND($AA665="Débit",$O665=$O664),$R664)),IF(OR(AND(OR($E665&lt;&gt;"",$M665=""),$N665&lt;&gt;0),$A665=""),IFERROR(INDEX(Investment!$H:$H,MATCH($E665,Investment!$F:$F,0))),IFERROR(INDEX($R666:$R1119,MATCH(SUBSTITUTE($I665,"-","",1),$K666:$K1119,0)),INDEX($R666:$R1119,MATCH($K665,$K666:$K1119,0)))))</f>
        <v/>
      </c>
      <c r="S665" s="35" t="str">
        <f t="shared" si="2"/>
        <v/>
      </c>
      <c r="T665" s="37" t="str">
        <f t="shared" si="3"/>
        <v/>
      </c>
      <c r="U665" s="38" t="str">
        <f t="shared" si="4"/>
        <v/>
      </c>
      <c r="V665" s="31" t="str">
        <f t="shared" si="5"/>
        <v/>
      </c>
      <c r="W665" s="39" t="str">
        <f>IFERROR(__xludf.DUMMYFUNCTION(" IF(Account!$F665&lt;&gt;"""", SPLIT(Account!$F665, "" ""), """")"),"")</f>
        <v/>
      </c>
      <c r="X665" s="40"/>
      <c r="Y665" s="40"/>
      <c r="Z665" s="40"/>
      <c r="AA665" s="40"/>
      <c r="AB665" s="40"/>
      <c r="AC665" s="40"/>
      <c r="AD665" s="40"/>
      <c r="AE665" s="40"/>
      <c r="AF665" s="40"/>
      <c r="AG665" s="40"/>
      <c r="AH665" s="40"/>
      <c r="AI665" s="40"/>
      <c r="AJ665" s="40"/>
      <c r="AK665" s="40"/>
    </row>
    <row r="666">
      <c r="A666" s="300"/>
      <c r="B666" s="300"/>
      <c r="C666" s="300"/>
      <c r="D666" s="300"/>
      <c r="E666" s="300"/>
      <c r="F666" s="329"/>
      <c r="G666" s="300"/>
      <c r="H666" s="300"/>
      <c r="I666" s="300"/>
      <c r="J666" s="300"/>
      <c r="K666" s="300"/>
      <c r="L666" s="329"/>
      <c r="M666" s="29" t="str">
        <f t="shared" si="1"/>
        <v/>
      </c>
      <c r="N666" s="31" t="str">
        <f>IFERROR(__xludf.DUMMYFUNCTION("IF(Account!$F666&lt;&gt;"""", VALUE(REGEXREPLACE($I666, ""\,"", ""."")), """")"),"")</f>
        <v/>
      </c>
      <c r="O666" s="33" t="str">
        <f>IF(Account!$F666&lt;&gt;"", DATEVALUE(MID($A666,4,3) &amp; LEFT($A666,3) &amp; RIGHT($A666,4)) + TIMEVALUE($B666), "")</f>
        <v/>
      </c>
      <c r="P666" s="34" t="str">
        <f>IF(Account!$F666&lt;&gt;"", DATEVALUE(MID($C666,4,3) &amp; LEFT($C666,3) &amp; RIGHT($C666,4)), "")</f>
        <v/>
      </c>
      <c r="Q666" s="35" t="str">
        <f t="array" ref="Q666">IF($R666&lt;&gt;"",IFERROR(INDEX(Investment!$A:$A,MATCH($R666,Investment!$H:$H,0))),)</f>
        <v/>
      </c>
      <c r="R666" s="36" t="str">
        <f t="array" ref="R666">IF(AND($Y666="change",$H666="EUR"),IF(AND($AA666="Crédit",$O666=$O667),$R667,IF(AND($AA666="Débit",$O666=$O665),$R665)),IF(OR(AND(OR($E666&lt;&gt;"",$M666=""),$N666&lt;&gt;0),$A666=""),IFERROR(INDEX(Investment!$H:$H,MATCH($E666,Investment!$F:$F,0))),IFERROR(INDEX($R667:$R1119,MATCH(SUBSTITUTE($I666,"-","",1),$K667:$K1119,0)),INDEX($R667:$R1119,MATCH($K666,$K667:$K1119,0)))))</f>
        <v/>
      </c>
      <c r="S666" s="35" t="str">
        <f t="shared" si="2"/>
        <v/>
      </c>
      <c r="T666" s="37" t="str">
        <f t="shared" si="3"/>
        <v/>
      </c>
      <c r="U666" s="38" t="str">
        <f t="shared" si="4"/>
        <v/>
      </c>
      <c r="V666" s="31" t="str">
        <f t="shared" si="5"/>
        <v/>
      </c>
      <c r="W666" s="39" t="str">
        <f>IFERROR(__xludf.DUMMYFUNCTION(" IF(Account!$F666&lt;&gt;"""", SPLIT(Account!$F666, "" ""), """")"),"")</f>
        <v/>
      </c>
      <c r="X666" s="40"/>
      <c r="Y666" s="40"/>
      <c r="Z666" s="40"/>
      <c r="AA666" s="40"/>
      <c r="AB666" s="40"/>
      <c r="AC666" s="40"/>
      <c r="AD666" s="40"/>
      <c r="AE666" s="40"/>
      <c r="AF666" s="40"/>
      <c r="AG666" s="40"/>
      <c r="AH666" s="40"/>
      <c r="AI666" s="40"/>
      <c r="AJ666" s="40"/>
      <c r="AK666" s="40"/>
    </row>
    <row r="667">
      <c r="A667" s="300"/>
      <c r="B667" s="300"/>
      <c r="C667" s="300"/>
      <c r="D667" s="300"/>
      <c r="E667" s="300"/>
      <c r="F667" s="329"/>
      <c r="G667" s="300"/>
      <c r="H667" s="300"/>
      <c r="I667" s="300"/>
      <c r="J667" s="300"/>
      <c r="K667" s="300"/>
      <c r="L667" s="329"/>
      <c r="M667" s="29" t="str">
        <f t="shared" si="1"/>
        <v/>
      </c>
      <c r="N667" s="31" t="str">
        <f>IFERROR(__xludf.DUMMYFUNCTION("IF(Account!$F667&lt;&gt;"""", VALUE(REGEXREPLACE($I667, ""\,"", ""."")), """")"),"")</f>
        <v/>
      </c>
      <c r="O667" s="33" t="str">
        <f>IF(Account!$F667&lt;&gt;"", DATEVALUE(MID($A667,4,3) &amp; LEFT($A667,3) &amp; RIGHT($A667,4)) + TIMEVALUE($B667), "")</f>
        <v/>
      </c>
      <c r="P667" s="34" t="str">
        <f>IF(Account!$F667&lt;&gt;"", DATEVALUE(MID($C667,4,3) &amp; LEFT($C667,3) &amp; RIGHT($C667,4)), "")</f>
        <v/>
      </c>
      <c r="Q667" s="35" t="str">
        <f t="array" ref="Q667">IF($R667&lt;&gt;"",IFERROR(INDEX(Investment!$A:$A,MATCH($R667,Investment!$H:$H,0))),)</f>
        <v/>
      </c>
      <c r="R667" s="36" t="str">
        <f t="array" ref="R667">IF(AND($Y667="change",$H667="EUR"),IF(AND($AA667="Crédit",$O667=$O668),$R668,IF(AND($AA667="Débit",$O667=$O666),$R666)),IF(OR(AND(OR($E667&lt;&gt;"",$M667=""),$N667&lt;&gt;0),$A667=""),IFERROR(INDEX(Investment!$H:$H,MATCH($E667,Investment!$F:$F,0))),IFERROR(INDEX($R668:$R1119,MATCH(SUBSTITUTE($I667,"-","",1),$K668:$K1119,0)),INDEX($R668:$R1119,MATCH($K667,$K668:$K1119,0)))))</f>
        <v/>
      </c>
      <c r="S667" s="35" t="str">
        <f t="shared" si="2"/>
        <v/>
      </c>
      <c r="T667" s="37" t="str">
        <f t="shared" si="3"/>
        <v/>
      </c>
      <c r="U667" s="38" t="str">
        <f t="shared" si="4"/>
        <v/>
      </c>
      <c r="V667" s="31" t="str">
        <f t="shared" si="5"/>
        <v/>
      </c>
      <c r="W667" s="39" t="str">
        <f>IFERROR(__xludf.DUMMYFUNCTION(" IF(Account!$F667&lt;&gt;"""", SPLIT(Account!$F667, "" ""), """")"),"")</f>
        <v/>
      </c>
      <c r="X667" s="40"/>
      <c r="Y667" s="40"/>
      <c r="Z667" s="40"/>
      <c r="AA667" s="40"/>
      <c r="AB667" s="40"/>
      <c r="AC667" s="40"/>
      <c r="AD667" s="40"/>
      <c r="AE667" s="40"/>
      <c r="AF667" s="40"/>
      <c r="AG667" s="40"/>
      <c r="AH667" s="40"/>
      <c r="AI667" s="40"/>
      <c r="AJ667" s="40"/>
      <c r="AK667" s="40"/>
    </row>
    <row r="668">
      <c r="A668" s="300"/>
      <c r="B668" s="300"/>
      <c r="C668" s="300"/>
      <c r="D668" s="300"/>
      <c r="E668" s="300"/>
      <c r="F668" s="329"/>
      <c r="G668" s="300"/>
      <c r="H668" s="300"/>
      <c r="I668" s="300"/>
      <c r="J668" s="300"/>
      <c r="K668" s="300"/>
      <c r="L668" s="329"/>
      <c r="M668" s="29" t="str">
        <f t="shared" si="1"/>
        <v/>
      </c>
      <c r="N668" s="31" t="str">
        <f>IFERROR(__xludf.DUMMYFUNCTION("IF(Account!$F668&lt;&gt;"""", VALUE(REGEXREPLACE($I668, ""\,"", ""."")), """")"),"")</f>
        <v/>
      </c>
      <c r="O668" s="33" t="str">
        <f>IF(Account!$F668&lt;&gt;"", DATEVALUE(MID($A668,4,3) &amp; LEFT($A668,3) &amp; RIGHT($A668,4)) + TIMEVALUE($B668), "")</f>
        <v/>
      </c>
      <c r="P668" s="34" t="str">
        <f>IF(Account!$F668&lt;&gt;"", DATEVALUE(MID($C668,4,3) &amp; LEFT($C668,3) &amp; RIGHT($C668,4)), "")</f>
        <v/>
      </c>
      <c r="Q668" s="35" t="str">
        <f t="array" ref="Q668">IF($R668&lt;&gt;"",IFERROR(INDEX(Investment!$A:$A,MATCH($R668,Investment!$H:$H,0))),)</f>
        <v/>
      </c>
      <c r="R668" s="36" t="str">
        <f t="array" ref="R668">IF(AND($Y668="change",$H668="EUR"),IF(AND($AA668="Crédit",$O668=$O669),$R669,IF(AND($AA668="Débit",$O668=$O667),$R667)),IF(OR(AND(OR($E668&lt;&gt;"",$M668=""),$N668&lt;&gt;0),$A668=""),IFERROR(INDEX(Investment!$H:$H,MATCH($E668,Investment!$F:$F,0))),IFERROR(INDEX($R669:$R1119,MATCH(SUBSTITUTE($I668,"-","",1),$K669:$K1119,0)),INDEX($R669:$R1119,MATCH($K668,$K669:$K1119,0)))))</f>
        <v/>
      </c>
      <c r="S668" s="35" t="str">
        <f t="shared" si="2"/>
        <v/>
      </c>
      <c r="T668" s="37" t="str">
        <f t="shared" si="3"/>
        <v/>
      </c>
      <c r="U668" s="38" t="str">
        <f t="shared" si="4"/>
        <v/>
      </c>
      <c r="V668" s="31" t="str">
        <f t="shared" si="5"/>
        <v/>
      </c>
      <c r="W668" s="39" t="str">
        <f>IFERROR(__xludf.DUMMYFUNCTION(" IF(Account!$F668&lt;&gt;"""", SPLIT(Account!$F668, "" ""), """")"),"")</f>
        <v/>
      </c>
      <c r="X668" s="40"/>
      <c r="Y668" s="40"/>
      <c r="Z668" s="40"/>
      <c r="AA668" s="40"/>
      <c r="AB668" s="40"/>
      <c r="AC668" s="40"/>
      <c r="AD668" s="40"/>
      <c r="AE668" s="40"/>
      <c r="AF668" s="40"/>
      <c r="AG668" s="40"/>
      <c r="AH668" s="40"/>
      <c r="AI668" s="40"/>
      <c r="AJ668" s="40"/>
      <c r="AK668" s="40"/>
    </row>
    <row r="669">
      <c r="A669" s="300"/>
      <c r="B669" s="300"/>
      <c r="C669" s="300"/>
      <c r="D669" s="300"/>
      <c r="E669" s="300"/>
      <c r="F669" s="329"/>
      <c r="G669" s="300"/>
      <c r="H669" s="300"/>
      <c r="I669" s="300"/>
      <c r="J669" s="300"/>
      <c r="K669" s="300"/>
      <c r="L669" s="329"/>
      <c r="M669" s="29" t="str">
        <f t="shared" si="1"/>
        <v/>
      </c>
      <c r="N669" s="31" t="str">
        <f>IFERROR(__xludf.DUMMYFUNCTION("IF(Account!$F669&lt;&gt;"""", VALUE(REGEXREPLACE($I669, ""\,"", ""."")), """")"),"")</f>
        <v/>
      </c>
      <c r="O669" s="33" t="str">
        <f>IF(Account!$F669&lt;&gt;"", DATEVALUE(MID($A669,4,3) &amp; LEFT($A669,3) &amp; RIGHT($A669,4)) + TIMEVALUE($B669), "")</f>
        <v/>
      </c>
      <c r="P669" s="34" t="str">
        <f>IF(Account!$F669&lt;&gt;"", DATEVALUE(MID($C669,4,3) &amp; LEFT($C669,3) &amp; RIGHT($C669,4)), "")</f>
        <v/>
      </c>
      <c r="Q669" s="35" t="str">
        <f t="array" ref="Q669">IF($R669&lt;&gt;"",IFERROR(INDEX(Investment!$A:$A,MATCH($R669,Investment!$H:$H,0))),)</f>
        <v/>
      </c>
      <c r="R669" s="36" t="str">
        <f t="array" ref="R669">IF(AND($Y669="change",$H669="EUR"),IF(AND($AA669="Crédit",$O669=$O670),$R670,IF(AND($AA669="Débit",$O669=$O668),$R668)),IF(OR(AND(OR($E669&lt;&gt;"",$M669=""),$N669&lt;&gt;0),$A669=""),IFERROR(INDEX(Investment!$H:$H,MATCH($E669,Investment!$F:$F,0))),IFERROR(INDEX($R670:$R1119,MATCH(SUBSTITUTE($I669,"-","",1),$K670:$K1119,0)),INDEX($R670:$R1119,MATCH($K669,$K670:$K1119,0)))))</f>
        <v/>
      </c>
      <c r="S669" s="35" t="str">
        <f t="shared" si="2"/>
        <v/>
      </c>
      <c r="T669" s="37" t="str">
        <f t="shared" si="3"/>
        <v/>
      </c>
      <c r="U669" s="38" t="str">
        <f t="shared" si="4"/>
        <v/>
      </c>
      <c r="V669" s="31" t="str">
        <f t="shared" si="5"/>
        <v/>
      </c>
      <c r="W669" s="39" t="str">
        <f>IFERROR(__xludf.DUMMYFUNCTION(" IF(Account!$F669&lt;&gt;"""", SPLIT(Account!$F669, "" ""), """")"),"")</f>
        <v/>
      </c>
      <c r="X669" s="40"/>
      <c r="Y669" s="40"/>
      <c r="Z669" s="40"/>
      <c r="AA669" s="40"/>
      <c r="AB669" s="40"/>
      <c r="AC669" s="40"/>
      <c r="AD669" s="40"/>
      <c r="AE669" s="40"/>
      <c r="AF669" s="40"/>
      <c r="AG669" s="40"/>
      <c r="AH669" s="40"/>
      <c r="AI669" s="40"/>
      <c r="AJ669" s="40"/>
      <c r="AK669" s="40"/>
    </row>
    <row r="670">
      <c r="A670" s="300"/>
      <c r="B670" s="300"/>
      <c r="C670" s="300"/>
      <c r="D670" s="300"/>
      <c r="E670" s="300"/>
      <c r="F670" s="329"/>
      <c r="G670" s="300"/>
      <c r="H670" s="300"/>
      <c r="I670" s="300"/>
      <c r="J670" s="300"/>
      <c r="K670" s="300"/>
      <c r="L670" s="329"/>
      <c r="M670" s="29" t="str">
        <f t="shared" si="1"/>
        <v/>
      </c>
      <c r="N670" s="31" t="str">
        <f>IFERROR(__xludf.DUMMYFUNCTION("IF(Account!$F670&lt;&gt;"""", VALUE(REGEXREPLACE($I670, ""\,"", ""."")), """")"),"")</f>
        <v/>
      </c>
      <c r="O670" s="33" t="str">
        <f>IF(Account!$F670&lt;&gt;"", DATEVALUE(MID($A670,4,3) &amp; LEFT($A670,3) &amp; RIGHT($A670,4)) + TIMEVALUE($B670), "")</f>
        <v/>
      </c>
      <c r="P670" s="34" t="str">
        <f>IF(Account!$F670&lt;&gt;"", DATEVALUE(MID($C670,4,3) &amp; LEFT($C670,3) &amp; RIGHT($C670,4)), "")</f>
        <v/>
      </c>
      <c r="Q670" s="35" t="str">
        <f t="array" ref="Q670">IF($R670&lt;&gt;"",IFERROR(INDEX(Investment!$A:$A,MATCH($R670,Investment!$H:$H,0))),)</f>
        <v/>
      </c>
      <c r="R670" s="36" t="str">
        <f t="array" ref="R670">IF(AND($Y670="change",$H670="EUR"),IF(AND($AA670="Crédit",$O670=$O671),$R671,IF(AND($AA670="Débit",$O670=$O669),$R669)),IF(OR(AND(OR($E670&lt;&gt;"",$M670=""),$N670&lt;&gt;0),$A670=""),IFERROR(INDEX(Investment!$H:$H,MATCH($E670,Investment!$F:$F,0))),IFERROR(INDEX($R671:$R1119,MATCH(SUBSTITUTE($I670,"-","",1),$K671:$K1119,0)),INDEX($R671:$R1119,MATCH($K670,$K671:$K1119,0)))))</f>
        <v/>
      </c>
      <c r="S670" s="35" t="str">
        <f t="shared" si="2"/>
        <v/>
      </c>
      <c r="T670" s="37" t="str">
        <f t="shared" si="3"/>
        <v/>
      </c>
      <c r="U670" s="38" t="str">
        <f t="shared" si="4"/>
        <v/>
      </c>
      <c r="V670" s="31" t="str">
        <f t="shared" si="5"/>
        <v/>
      </c>
      <c r="W670" s="39" t="str">
        <f>IFERROR(__xludf.DUMMYFUNCTION(" IF(Account!$F670&lt;&gt;"""", SPLIT(Account!$F670, "" ""), """")"),"")</f>
        <v/>
      </c>
      <c r="X670" s="40"/>
      <c r="Y670" s="40"/>
      <c r="Z670" s="40"/>
      <c r="AA670" s="40"/>
      <c r="AB670" s="40"/>
      <c r="AC670" s="40"/>
      <c r="AD670" s="40"/>
      <c r="AE670" s="40"/>
      <c r="AF670" s="40"/>
      <c r="AG670" s="40"/>
      <c r="AH670" s="40"/>
      <c r="AI670" s="40"/>
      <c r="AJ670" s="40"/>
      <c r="AK670" s="40"/>
    </row>
    <row r="671">
      <c r="A671" s="300"/>
      <c r="B671" s="300"/>
      <c r="C671" s="300"/>
      <c r="D671" s="300"/>
      <c r="E671" s="300"/>
      <c r="F671" s="329"/>
      <c r="G671" s="300"/>
      <c r="H671" s="300"/>
      <c r="I671" s="300"/>
      <c r="J671" s="300"/>
      <c r="K671" s="300"/>
      <c r="L671" s="329"/>
      <c r="M671" s="29" t="str">
        <f t="shared" si="1"/>
        <v/>
      </c>
      <c r="N671" s="31" t="str">
        <f>IFERROR(__xludf.DUMMYFUNCTION("IF(Account!$F671&lt;&gt;"""", VALUE(REGEXREPLACE($I671, ""\,"", ""."")), """")"),"")</f>
        <v/>
      </c>
      <c r="O671" s="33" t="str">
        <f>IF(Account!$F671&lt;&gt;"", DATEVALUE(MID($A671,4,3) &amp; LEFT($A671,3) &amp; RIGHT($A671,4)) + TIMEVALUE($B671), "")</f>
        <v/>
      </c>
      <c r="P671" s="34" t="str">
        <f>IF(Account!$F671&lt;&gt;"", DATEVALUE(MID($C671,4,3) &amp; LEFT($C671,3) &amp; RIGHT($C671,4)), "")</f>
        <v/>
      </c>
      <c r="Q671" s="35" t="str">
        <f t="array" ref="Q671">IF($R671&lt;&gt;"",IFERROR(INDEX(Investment!$A:$A,MATCH($R671,Investment!$H:$H,0))),)</f>
        <v/>
      </c>
      <c r="R671" s="36" t="str">
        <f t="array" ref="R671">IF(AND($Y671="change",$H671="EUR"),IF(AND($AA671="Crédit",$O671=$O672),$R672,IF(AND($AA671="Débit",$O671=$O670),$R670)),IF(OR(AND(OR($E671&lt;&gt;"",$M671=""),$N671&lt;&gt;0),$A671=""),IFERROR(INDEX(Investment!$H:$H,MATCH($E671,Investment!$F:$F,0))),IFERROR(INDEX($R672:$R1119,MATCH(SUBSTITUTE($I671,"-","",1),$K672:$K1119,0)),INDEX($R672:$R1119,MATCH($K671,$K672:$K1119,0)))))</f>
        <v/>
      </c>
      <c r="S671" s="35" t="str">
        <f t="shared" si="2"/>
        <v/>
      </c>
      <c r="T671" s="37" t="str">
        <f t="shared" si="3"/>
        <v/>
      </c>
      <c r="U671" s="38" t="str">
        <f t="shared" si="4"/>
        <v/>
      </c>
      <c r="V671" s="31" t="str">
        <f t="shared" si="5"/>
        <v/>
      </c>
      <c r="W671" s="39" t="str">
        <f>IFERROR(__xludf.DUMMYFUNCTION(" IF(Account!$F671&lt;&gt;"""", SPLIT(Account!$F671, "" ""), """")"),"")</f>
        <v/>
      </c>
      <c r="X671" s="40"/>
      <c r="Y671" s="40"/>
      <c r="Z671" s="40"/>
      <c r="AA671" s="40"/>
      <c r="AB671" s="40"/>
      <c r="AC671" s="40"/>
      <c r="AD671" s="40"/>
      <c r="AE671" s="40"/>
      <c r="AF671" s="40"/>
      <c r="AG671" s="40"/>
      <c r="AH671" s="40"/>
      <c r="AI671" s="40"/>
      <c r="AJ671" s="40"/>
      <c r="AK671" s="40"/>
    </row>
    <row r="672">
      <c r="A672" s="300"/>
      <c r="B672" s="300"/>
      <c r="C672" s="300"/>
      <c r="D672" s="300"/>
      <c r="E672" s="300"/>
      <c r="F672" s="329"/>
      <c r="G672" s="300"/>
      <c r="H672" s="300"/>
      <c r="I672" s="300"/>
      <c r="J672" s="300"/>
      <c r="K672" s="300"/>
      <c r="L672" s="329"/>
      <c r="M672" s="29" t="str">
        <f t="shared" si="1"/>
        <v/>
      </c>
      <c r="N672" s="31" t="str">
        <f>IFERROR(__xludf.DUMMYFUNCTION("IF(Account!$F672&lt;&gt;"""", VALUE(REGEXREPLACE($I672, ""\,"", ""."")), """")"),"")</f>
        <v/>
      </c>
      <c r="O672" s="33" t="str">
        <f>IF(Account!$F672&lt;&gt;"", DATEVALUE(MID($A672,4,3) &amp; LEFT($A672,3) &amp; RIGHT($A672,4)) + TIMEVALUE($B672), "")</f>
        <v/>
      </c>
      <c r="P672" s="34" t="str">
        <f>IF(Account!$F672&lt;&gt;"", DATEVALUE(MID($C672,4,3) &amp; LEFT($C672,3) &amp; RIGHT($C672,4)), "")</f>
        <v/>
      </c>
      <c r="Q672" s="35" t="str">
        <f t="array" ref="Q672">IF($R672&lt;&gt;"",IFERROR(INDEX(Investment!$A:$A,MATCH($R672,Investment!$H:$H,0))),)</f>
        <v/>
      </c>
      <c r="R672" s="36" t="str">
        <f t="array" ref="R672">IF(AND($Y672="change",$H672="EUR"),IF(AND($AA672="Crédit",$O672=$O673),$R673,IF(AND($AA672="Débit",$O672=$O671),$R671)),IF(OR(AND(OR($E672&lt;&gt;"",$M672=""),$N672&lt;&gt;0),$A672=""),IFERROR(INDEX(Investment!$H:$H,MATCH($E672,Investment!$F:$F,0))),IFERROR(INDEX($R673:$R1119,MATCH(SUBSTITUTE($I672,"-","",1),$K673:$K1119,0)),INDEX($R673:$R1119,MATCH($K672,$K673:$K1119,0)))))</f>
        <v/>
      </c>
      <c r="S672" s="35" t="str">
        <f t="shared" si="2"/>
        <v/>
      </c>
      <c r="T672" s="37" t="str">
        <f t="shared" si="3"/>
        <v/>
      </c>
      <c r="U672" s="38" t="str">
        <f t="shared" si="4"/>
        <v/>
      </c>
      <c r="V672" s="31" t="str">
        <f t="shared" si="5"/>
        <v/>
      </c>
      <c r="W672" s="39" t="str">
        <f>IFERROR(__xludf.DUMMYFUNCTION(" IF(Account!$F672&lt;&gt;"""", SPLIT(Account!$F672, "" ""), """")"),"")</f>
        <v/>
      </c>
      <c r="X672" s="40"/>
      <c r="Y672" s="40"/>
      <c r="Z672" s="40"/>
      <c r="AA672" s="40"/>
      <c r="AB672" s="40"/>
      <c r="AC672" s="40"/>
      <c r="AD672" s="40"/>
      <c r="AE672" s="40"/>
      <c r="AF672" s="40"/>
      <c r="AG672" s="40"/>
      <c r="AH672" s="40"/>
      <c r="AI672" s="40"/>
      <c r="AJ672" s="40"/>
      <c r="AK672" s="40"/>
    </row>
    <row r="673">
      <c r="A673" s="300"/>
      <c r="B673" s="300"/>
      <c r="C673" s="300"/>
      <c r="D673" s="300"/>
      <c r="E673" s="300"/>
      <c r="F673" s="329"/>
      <c r="G673" s="300"/>
      <c r="H673" s="300"/>
      <c r="I673" s="300"/>
      <c r="J673" s="300"/>
      <c r="K673" s="300"/>
      <c r="L673" s="329"/>
      <c r="M673" s="29" t="str">
        <f t="shared" si="1"/>
        <v/>
      </c>
      <c r="N673" s="31" t="str">
        <f>IFERROR(__xludf.DUMMYFUNCTION("IF(Account!$F673&lt;&gt;"""", VALUE(REGEXREPLACE($I673, ""\,"", ""."")), """")"),"")</f>
        <v/>
      </c>
      <c r="O673" s="33" t="str">
        <f>IF(Account!$F673&lt;&gt;"", DATEVALUE(MID($A673,4,3) &amp; LEFT($A673,3) &amp; RIGHT($A673,4)) + TIMEVALUE($B673), "")</f>
        <v/>
      </c>
      <c r="P673" s="34" t="str">
        <f>IF(Account!$F673&lt;&gt;"", DATEVALUE(MID($C673,4,3) &amp; LEFT($C673,3) &amp; RIGHT($C673,4)), "")</f>
        <v/>
      </c>
      <c r="Q673" s="35" t="str">
        <f t="array" ref="Q673">IF($R673&lt;&gt;"",IFERROR(INDEX(Investment!$A:$A,MATCH($R673,Investment!$H:$H,0))),)</f>
        <v/>
      </c>
      <c r="R673" s="36" t="str">
        <f t="array" ref="R673">IF(AND($Y673="change",$H673="EUR"),IF(AND($AA673="Crédit",$O673=$O674),$R674,IF(AND($AA673="Débit",$O673=$O672),$R672)),IF(OR(AND(OR($E673&lt;&gt;"",$M673=""),$N673&lt;&gt;0),$A673=""),IFERROR(INDEX(Investment!$H:$H,MATCH($E673,Investment!$F:$F,0))),IFERROR(INDEX($R674:$R1119,MATCH(SUBSTITUTE($I673,"-","",1),$K674:$K1119,0)),INDEX($R674:$R1119,MATCH($K673,$K674:$K1119,0)))))</f>
        <v/>
      </c>
      <c r="S673" s="35" t="str">
        <f t="shared" si="2"/>
        <v/>
      </c>
      <c r="T673" s="37" t="str">
        <f t="shared" si="3"/>
        <v/>
      </c>
      <c r="U673" s="38" t="str">
        <f t="shared" si="4"/>
        <v/>
      </c>
      <c r="V673" s="31" t="str">
        <f t="shared" si="5"/>
        <v/>
      </c>
      <c r="W673" s="39" t="str">
        <f>IFERROR(__xludf.DUMMYFUNCTION(" IF(Account!$F673&lt;&gt;"""", SPLIT(Account!$F673, "" ""), """")"),"")</f>
        <v/>
      </c>
      <c r="X673" s="40"/>
      <c r="Y673" s="40"/>
      <c r="Z673" s="40"/>
      <c r="AA673" s="40"/>
      <c r="AB673" s="40"/>
      <c r="AC673" s="40"/>
      <c r="AD673" s="40"/>
      <c r="AE673" s="40"/>
      <c r="AF673" s="40"/>
      <c r="AG673" s="40"/>
      <c r="AH673" s="40"/>
      <c r="AI673" s="40"/>
      <c r="AJ673" s="40"/>
      <c r="AK673" s="40"/>
    </row>
    <row r="674">
      <c r="A674" s="300"/>
      <c r="B674" s="300"/>
      <c r="C674" s="300"/>
      <c r="D674" s="300"/>
      <c r="E674" s="300"/>
      <c r="F674" s="329"/>
      <c r="G674" s="300"/>
      <c r="H674" s="300"/>
      <c r="I674" s="300"/>
      <c r="J674" s="300"/>
      <c r="K674" s="300"/>
      <c r="L674" s="329"/>
      <c r="M674" s="29" t="str">
        <f t="shared" si="1"/>
        <v/>
      </c>
      <c r="N674" s="31" t="str">
        <f>IFERROR(__xludf.DUMMYFUNCTION("IF(Account!$F674&lt;&gt;"""", VALUE(REGEXREPLACE($I674, ""\,"", ""."")), """")"),"")</f>
        <v/>
      </c>
      <c r="O674" s="33" t="str">
        <f>IF(Account!$F674&lt;&gt;"", DATEVALUE(MID($A674,4,3) &amp; LEFT($A674,3) &amp; RIGHT($A674,4)) + TIMEVALUE($B674), "")</f>
        <v/>
      </c>
      <c r="P674" s="34" t="str">
        <f>IF(Account!$F674&lt;&gt;"", DATEVALUE(MID($C674,4,3) &amp; LEFT($C674,3) &amp; RIGHT($C674,4)), "")</f>
        <v/>
      </c>
      <c r="Q674" s="35" t="str">
        <f t="array" ref="Q674">IF($R674&lt;&gt;"",IFERROR(INDEX(Investment!$A:$A,MATCH($R674,Investment!$H:$H,0))),)</f>
        <v/>
      </c>
      <c r="R674" s="36" t="str">
        <f t="array" ref="R674">IF(AND($Y674="change",$H674="EUR"),IF(AND($AA674="Crédit",$O674=$O675),$R675,IF(AND($AA674="Débit",$O674=$O673),$R673)),IF(OR(AND(OR($E674&lt;&gt;"",$M674=""),$N674&lt;&gt;0),$A674=""),IFERROR(INDEX(Investment!$H:$H,MATCH($E674,Investment!$F:$F,0))),IFERROR(INDEX($R675:$R1119,MATCH(SUBSTITUTE($I674,"-","",1),$K675:$K1119,0)),INDEX($R675:$R1119,MATCH($K674,$K675:$K1119,0)))))</f>
        <v/>
      </c>
      <c r="S674" s="35" t="str">
        <f t="shared" si="2"/>
        <v/>
      </c>
      <c r="T674" s="37" t="str">
        <f t="shared" si="3"/>
        <v/>
      </c>
      <c r="U674" s="38" t="str">
        <f t="shared" si="4"/>
        <v/>
      </c>
      <c r="V674" s="31" t="str">
        <f t="shared" si="5"/>
        <v/>
      </c>
      <c r="W674" s="39" t="str">
        <f>IFERROR(__xludf.DUMMYFUNCTION(" IF(Account!$F674&lt;&gt;"""", SPLIT(Account!$F674, "" ""), """")"),"")</f>
        <v/>
      </c>
      <c r="X674" s="40"/>
      <c r="Y674" s="40"/>
      <c r="Z674" s="40"/>
      <c r="AA674" s="40"/>
      <c r="AB674" s="40"/>
      <c r="AC674" s="40"/>
      <c r="AD674" s="40"/>
      <c r="AE674" s="40"/>
      <c r="AF674" s="40"/>
      <c r="AG674" s="40"/>
      <c r="AH674" s="40"/>
      <c r="AI674" s="40"/>
      <c r="AJ674" s="40"/>
      <c r="AK674" s="40"/>
    </row>
    <row r="675">
      <c r="A675" s="300"/>
      <c r="B675" s="300"/>
      <c r="C675" s="300"/>
      <c r="D675" s="300"/>
      <c r="E675" s="300"/>
      <c r="F675" s="329"/>
      <c r="G675" s="300"/>
      <c r="H675" s="300"/>
      <c r="I675" s="300"/>
      <c r="J675" s="300"/>
      <c r="K675" s="300"/>
      <c r="L675" s="329"/>
      <c r="M675" s="29" t="str">
        <f t="shared" si="1"/>
        <v/>
      </c>
      <c r="N675" s="31" t="str">
        <f>IFERROR(__xludf.DUMMYFUNCTION("IF(Account!$F675&lt;&gt;"""", VALUE(REGEXREPLACE($I675, ""\,"", ""."")), """")"),"")</f>
        <v/>
      </c>
      <c r="O675" s="33" t="str">
        <f>IF(Account!$F675&lt;&gt;"", DATEVALUE(MID($A675,4,3) &amp; LEFT($A675,3) &amp; RIGHT($A675,4)) + TIMEVALUE($B675), "")</f>
        <v/>
      </c>
      <c r="P675" s="34" t="str">
        <f>IF(Account!$F675&lt;&gt;"", DATEVALUE(MID($C675,4,3) &amp; LEFT($C675,3) &amp; RIGHT($C675,4)), "")</f>
        <v/>
      </c>
      <c r="Q675" s="35" t="str">
        <f t="array" ref="Q675">IF($R675&lt;&gt;"",IFERROR(INDEX(Investment!$A:$A,MATCH($R675,Investment!$H:$H,0))),)</f>
        <v/>
      </c>
      <c r="R675" s="36" t="str">
        <f t="array" ref="R675">IF(AND($Y675="change",$H675="EUR"),IF(AND($AA675="Crédit",$O675=$O676),$R676,IF(AND($AA675="Débit",$O675=$O674),$R674)),IF(OR(AND(OR($E675&lt;&gt;"",$M675=""),$N675&lt;&gt;0),$A675=""),IFERROR(INDEX(Investment!$H:$H,MATCH($E675,Investment!$F:$F,0))),IFERROR(INDEX($R676:$R1119,MATCH(SUBSTITUTE($I675,"-","",1),$K676:$K1119,0)),INDEX($R676:$R1119,MATCH($K675,$K676:$K1119,0)))))</f>
        <v/>
      </c>
      <c r="S675" s="35" t="str">
        <f t="shared" si="2"/>
        <v/>
      </c>
      <c r="T675" s="37" t="str">
        <f t="shared" si="3"/>
        <v/>
      </c>
      <c r="U675" s="38" t="str">
        <f t="shared" si="4"/>
        <v/>
      </c>
      <c r="V675" s="31" t="str">
        <f t="shared" si="5"/>
        <v/>
      </c>
      <c r="W675" s="39" t="str">
        <f>IFERROR(__xludf.DUMMYFUNCTION(" IF(Account!$F675&lt;&gt;"""", SPLIT(Account!$F675, "" ""), """")"),"")</f>
        <v/>
      </c>
      <c r="X675" s="40"/>
      <c r="Y675" s="40"/>
      <c r="Z675" s="40"/>
      <c r="AA675" s="40"/>
      <c r="AB675" s="40"/>
      <c r="AC675" s="40"/>
      <c r="AD675" s="40"/>
      <c r="AE675" s="40"/>
      <c r="AF675" s="40"/>
      <c r="AG675" s="40"/>
      <c r="AH675" s="40"/>
      <c r="AI675" s="40"/>
      <c r="AJ675" s="40"/>
      <c r="AK675" s="40"/>
    </row>
    <row r="676">
      <c r="A676" s="300"/>
      <c r="B676" s="300"/>
      <c r="C676" s="300"/>
      <c r="D676" s="300"/>
      <c r="E676" s="300"/>
      <c r="F676" s="329"/>
      <c r="G676" s="300"/>
      <c r="H676" s="300"/>
      <c r="I676" s="300"/>
      <c r="J676" s="300"/>
      <c r="K676" s="300"/>
      <c r="L676" s="329"/>
      <c r="M676" s="29" t="str">
        <f t="shared" si="1"/>
        <v/>
      </c>
      <c r="N676" s="31" t="str">
        <f>IFERROR(__xludf.DUMMYFUNCTION("IF(Account!$F676&lt;&gt;"""", VALUE(REGEXREPLACE($I676, ""\,"", ""."")), """")"),"")</f>
        <v/>
      </c>
      <c r="O676" s="33" t="str">
        <f>IF(Account!$F676&lt;&gt;"", DATEVALUE(MID($A676,4,3) &amp; LEFT($A676,3) &amp; RIGHT($A676,4)) + TIMEVALUE($B676), "")</f>
        <v/>
      </c>
      <c r="P676" s="34" t="str">
        <f>IF(Account!$F676&lt;&gt;"", DATEVALUE(MID($C676,4,3) &amp; LEFT($C676,3) &amp; RIGHT($C676,4)), "")</f>
        <v/>
      </c>
      <c r="Q676" s="35" t="str">
        <f t="array" ref="Q676">IF($R676&lt;&gt;"",IFERROR(INDEX(Investment!$A:$A,MATCH($R676,Investment!$H:$H,0))),)</f>
        <v/>
      </c>
      <c r="R676" s="36" t="str">
        <f t="array" ref="R676">IF(AND($Y676="change",$H676="EUR"),IF(AND($AA676="Crédit",$O676=$O677),$R677,IF(AND($AA676="Débit",$O676=$O675),$R675)),IF(OR(AND(OR($E676&lt;&gt;"",$M676=""),$N676&lt;&gt;0),$A676=""),IFERROR(INDEX(Investment!$H:$H,MATCH($E676,Investment!$F:$F,0))),IFERROR(INDEX($R677:$R1119,MATCH(SUBSTITUTE($I676,"-","",1),$K677:$K1119,0)),INDEX($R677:$R1119,MATCH($K676,$K677:$K1119,0)))))</f>
        <v/>
      </c>
      <c r="S676" s="35" t="str">
        <f t="shared" si="2"/>
        <v/>
      </c>
      <c r="T676" s="37" t="str">
        <f t="shared" si="3"/>
        <v/>
      </c>
      <c r="U676" s="38" t="str">
        <f t="shared" si="4"/>
        <v/>
      </c>
      <c r="V676" s="31" t="str">
        <f t="shared" si="5"/>
        <v/>
      </c>
      <c r="W676" s="39" t="str">
        <f>IFERROR(__xludf.DUMMYFUNCTION(" IF(Account!$F676&lt;&gt;"""", SPLIT(Account!$F676, "" ""), """")"),"")</f>
        <v/>
      </c>
      <c r="X676" s="40"/>
      <c r="Y676" s="40"/>
      <c r="Z676" s="40"/>
      <c r="AA676" s="40"/>
      <c r="AB676" s="40"/>
      <c r="AC676" s="40"/>
      <c r="AD676" s="40"/>
      <c r="AE676" s="40"/>
      <c r="AF676" s="40"/>
      <c r="AG676" s="40"/>
      <c r="AH676" s="40"/>
      <c r="AI676" s="40"/>
      <c r="AJ676" s="40"/>
      <c r="AK676" s="40"/>
    </row>
    <row r="677">
      <c r="A677" s="300"/>
      <c r="B677" s="300"/>
      <c r="C677" s="300"/>
      <c r="D677" s="300"/>
      <c r="E677" s="300"/>
      <c r="F677" s="329"/>
      <c r="G677" s="300"/>
      <c r="H677" s="300"/>
      <c r="I677" s="300"/>
      <c r="J677" s="300"/>
      <c r="K677" s="300"/>
      <c r="L677" s="329"/>
      <c r="M677" s="29" t="str">
        <f t="shared" si="1"/>
        <v/>
      </c>
      <c r="N677" s="31" t="str">
        <f>IFERROR(__xludf.DUMMYFUNCTION("IF(Account!$F677&lt;&gt;"""", VALUE(REGEXREPLACE($I677, ""\,"", ""."")), """")"),"")</f>
        <v/>
      </c>
      <c r="O677" s="33" t="str">
        <f>IF(Account!$F677&lt;&gt;"", DATEVALUE(MID($A677,4,3) &amp; LEFT($A677,3) &amp; RIGHT($A677,4)) + TIMEVALUE($B677), "")</f>
        <v/>
      </c>
      <c r="P677" s="34" t="str">
        <f>IF(Account!$F677&lt;&gt;"", DATEVALUE(MID($C677,4,3) &amp; LEFT($C677,3) &amp; RIGHT($C677,4)), "")</f>
        <v/>
      </c>
      <c r="Q677" s="35" t="str">
        <f t="array" ref="Q677">IF($R677&lt;&gt;"",IFERROR(INDEX(Investment!$A:$A,MATCH($R677,Investment!$H:$H,0))),)</f>
        <v/>
      </c>
      <c r="R677" s="36" t="str">
        <f t="array" ref="R677">IF(AND($Y677="change",$H677="EUR"),IF(AND($AA677="Crédit",$O677=$O678),$R678,IF(AND($AA677="Débit",$O677=$O676),$R676)),IF(OR(AND(OR($E677&lt;&gt;"",$M677=""),$N677&lt;&gt;0),$A677=""),IFERROR(INDEX(Investment!$H:$H,MATCH($E677,Investment!$F:$F,0))),IFERROR(INDEX($R678:$R1119,MATCH(SUBSTITUTE($I677,"-","",1),$K678:$K1119,0)),INDEX($R678:$R1119,MATCH($K677,$K678:$K1119,0)))))</f>
        <v/>
      </c>
      <c r="S677" s="35" t="str">
        <f t="shared" si="2"/>
        <v/>
      </c>
      <c r="T677" s="37" t="str">
        <f t="shared" si="3"/>
        <v/>
      </c>
      <c r="U677" s="38" t="str">
        <f t="shared" si="4"/>
        <v/>
      </c>
      <c r="V677" s="31" t="str">
        <f t="shared" si="5"/>
        <v/>
      </c>
      <c r="W677" s="39" t="str">
        <f>IFERROR(__xludf.DUMMYFUNCTION(" IF(Account!$F677&lt;&gt;"""", SPLIT(Account!$F677, "" ""), """")"),"")</f>
        <v/>
      </c>
      <c r="X677" s="40"/>
      <c r="Y677" s="40"/>
      <c r="Z677" s="40"/>
      <c r="AA677" s="40"/>
      <c r="AB677" s="40"/>
      <c r="AC677" s="40"/>
      <c r="AD677" s="40"/>
      <c r="AE677" s="40"/>
      <c r="AF677" s="40"/>
      <c r="AG677" s="40"/>
      <c r="AH677" s="40"/>
      <c r="AI677" s="40"/>
      <c r="AJ677" s="40"/>
      <c r="AK677" s="40"/>
    </row>
    <row r="678">
      <c r="A678" s="300"/>
      <c r="B678" s="300"/>
      <c r="C678" s="300"/>
      <c r="D678" s="300"/>
      <c r="E678" s="300"/>
      <c r="F678" s="329"/>
      <c r="G678" s="300"/>
      <c r="H678" s="300"/>
      <c r="I678" s="300"/>
      <c r="J678" s="300"/>
      <c r="K678" s="300"/>
      <c r="L678" s="329"/>
      <c r="M678" s="29" t="str">
        <f t="shared" si="1"/>
        <v/>
      </c>
      <c r="N678" s="31" t="str">
        <f>IFERROR(__xludf.DUMMYFUNCTION("IF(Account!$F678&lt;&gt;"""", VALUE(REGEXREPLACE($I678, ""\,"", ""."")), """")"),"")</f>
        <v/>
      </c>
      <c r="O678" s="33" t="str">
        <f>IF(Account!$F678&lt;&gt;"", DATEVALUE(MID($A678,4,3) &amp; LEFT($A678,3) &amp; RIGHT($A678,4)) + TIMEVALUE($B678), "")</f>
        <v/>
      </c>
      <c r="P678" s="34" t="str">
        <f>IF(Account!$F678&lt;&gt;"", DATEVALUE(MID($C678,4,3) &amp; LEFT($C678,3) &amp; RIGHT($C678,4)), "")</f>
        <v/>
      </c>
      <c r="Q678" s="35" t="str">
        <f t="array" ref="Q678">IF($R678&lt;&gt;"",IFERROR(INDEX(Investment!$A:$A,MATCH($R678,Investment!$H:$H,0))),)</f>
        <v/>
      </c>
      <c r="R678" s="36" t="str">
        <f t="array" ref="R678">IF(AND($Y678="change",$H678="EUR"),IF(AND($AA678="Crédit",$O678=$O679),$R679,IF(AND($AA678="Débit",$O678=$O677),$R677)),IF(OR(AND(OR($E678&lt;&gt;"",$M678=""),$N678&lt;&gt;0),$A678=""),IFERROR(INDEX(Investment!$H:$H,MATCH($E678,Investment!$F:$F,0))),IFERROR(INDEX($R679:$R1119,MATCH(SUBSTITUTE($I678,"-","",1),$K679:$K1119,0)),INDEX($R679:$R1119,MATCH($K678,$K679:$K1119,0)))))</f>
        <v/>
      </c>
      <c r="S678" s="35" t="str">
        <f t="shared" si="2"/>
        <v/>
      </c>
      <c r="T678" s="37" t="str">
        <f t="shared" si="3"/>
        <v/>
      </c>
      <c r="U678" s="38" t="str">
        <f t="shared" si="4"/>
        <v/>
      </c>
      <c r="V678" s="31" t="str">
        <f t="shared" si="5"/>
        <v/>
      </c>
      <c r="W678" s="39" t="str">
        <f>IFERROR(__xludf.DUMMYFUNCTION(" IF(Account!$F678&lt;&gt;"""", SPLIT(Account!$F678, "" ""), """")"),"")</f>
        <v/>
      </c>
      <c r="X678" s="40"/>
      <c r="Y678" s="40"/>
      <c r="Z678" s="40"/>
      <c r="AA678" s="40"/>
      <c r="AB678" s="40"/>
      <c r="AC678" s="40"/>
      <c r="AD678" s="40"/>
      <c r="AE678" s="40"/>
      <c r="AF678" s="40"/>
      <c r="AG678" s="40"/>
      <c r="AH678" s="40"/>
      <c r="AI678" s="40"/>
      <c r="AJ678" s="40"/>
      <c r="AK678" s="40"/>
    </row>
    <row r="679">
      <c r="A679" s="300"/>
      <c r="B679" s="300"/>
      <c r="C679" s="300"/>
      <c r="D679" s="300"/>
      <c r="E679" s="300"/>
      <c r="F679" s="329"/>
      <c r="G679" s="300"/>
      <c r="H679" s="300"/>
      <c r="I679" s="300"/>
      <c r="J679" s="300"/>
      <c r="K679" s="300"/>
      <c r="L679" s="329"/>
      <c r="M679" s="29" t="str">
        <f t="shared" si="1"/>
        <v/>
      </c>
      <c r="N679" s="31" t="str">
        <f>IFERROR(__xludf.DUMMYFUNCTION("IF(Account!$F679&lt;&gt;"""", VALUE(REGEXREPLACE($I679, ""\,"", ""."")), """")"),"")</f>
        <v/>
      </c>
      <c r="O679" s="33" t="str">
        <f>IF(Account!$F679&lt;&gt;"", DATEVALUE(MID($A679,4,3) &amp; LEFT($A679,3) &amp; RIGHT($A679,4)) + TIMEVALUE($B679), "")</f>
        <v/>
      </c>
      <c r="P679" s="34" t="str">
        <f>IF(Account!$F679&lt;&gt;"", DATEVALUE(MID($C679,4,3) &amp; LEFT($C679,3) &amp; RIGHT($C679,4)), "")</f>
        <v/>
      </c>
      <c r="Q679" s="35" t="str">
        <f t="array" ref="Q679">IF($R679&lt;&gt;"",IFERROR(INDEX(Investment!$A:$A,MATCH($R679,Investment!$H:$H,0))),)</f>
        <v/>
      </c>
      <c r="R679" s="36" t="str">
        <f t="array" ref="R679">IF(AND($Y679="change",$H679="EUR"),IF(AND($AA679="Crédit",$O679=$O680),$R680,IF(AND($AA679="Débit",$O679=$O678),$R678)),IF(OR(AND(OR($E679&lt;&gt;"",$M679=""),$N679&lt;&gt;0),$A679=""),IFERROR(INDEX(Investment!$H:$H,MATCH($E679,Investment!$F:$F,0))),IFERROR(INDEX($R680:$R1119,MATCH(SUBSTITUTE($I679,"-","",1),$K680:$K1119,0)),INDEX($R680:$R1119,MATCH($K679,$K680:$K1119,0)))))</f>
        <v/>
      </c>
      <c r="S679" s="35" t="str">
        <f t="shared" si="2"/>
        <v/>
      </c>
      <c r="T679" s="37" t="str">
        <f t="shared" si="3"/>
        <v/>
      </c>
      <c r="U679" s="38" t="str">
        <f t="shared" si="4"/>
        <v/>
      </c>
      <c r="V679" s="31" t="str">
        <f t="shared" si="5"/>
        <v/>
      </c>
      <c r="W679" s="39" t="str">
        <f>IFERROR(__xludf.DUMMYFUNCTION(" IF(Account!$F679&lt;&gt;"""", SPLIT(Account!$F679, "" ""), """")"),"")</f>
        <v/>
      </c>
      <c r="X679" s="40"/>
      <c r="Y679" s="40"/>
      <c r="Z679" s="40"/>
      <c r="AA679" s="40"/>
      <c r="AB679" s="40"/>
      <c r="AC679" s="40"/>
      <c r="AD679" s="40"/>
      <c r="AE679" s="40"/>
      <c r="AF679" s="40"/>
      <c r="AG679" s="40"/>
      <c r="AH679" s="40"/>
      <c r="AI679" s="40"/>
      <c r="AJ679" s="40"/>
      <c r="AK679" s="40"/>
    </row>
    <row r="680">
      <c r="A680" s="300"/>
      <c r="B680" s="300"/>
      <c r="C680" s="300"/>
      <c r="D680" s="300"/>
      <c r="E680" s="300"/>
      <c r="F680" s="329"/>
      <c r="G680" s="300"/>
      <c r="H680" s="300"/>
      <c r="I680" s="300"/>
      <c r="J680" s="300"/>
      <c r="K680" s="300"/>
      <c r="L680" s="329"/>
      <c r="M680" s="29" t="str">
        <f t="shared" si="1"/>
        <v/>
      </c>
      <c r="N680" s="31" t="str">
        <f>IFERROR(__xludf.DUMMYFUNCTION("IF(Account!$F680&lt;&gt;"""", VALUE(REGEXREPLACE($I680, ""\,"", ""."")), """")"),"")</f>
        <v/>
      </c>
      <c r="O680" s="33" t="str">
        <f>IF(Account!$F680&lt;&gt;"", DATEVALUE(MID($A680,4,3) &amp; LEFT($A680,3) &amp; RIGHT($A680,4)) + TIMEVALUE($B680), "")</f>
        <v/>
      </c>
      <c r="P680" s="34" t="str">
        <f>IF(Account!$F680&lt;&gt;"", DATEVALUE(MID($C680,4,3) &amp; LEFT($C680,3) &amp; RIGHT($C680,4)), "")</f>
        <v/>
      </c>
      <c r="Q680" s="35" t="str">
        <f t="array" ref="Q680">IF($R680&lt;&gt;"",IFERROR(INDEX(Investment!$A:$A,MATCH($R680,Investment!$H:$H,0))),)</f>
        <v/>
      </c>
      <c r="R680" s="36" t="str">
        <f t="array" ref="R680">IF(AND($Y680="change",$H680="EUR"),IF(AND($AA680="Crédit",$O680=$O681),$R681,IF(AND($AA680="Débit",$O680=$O679),$R679)),IF(OR(AND(OR($E680&lt;&gt;"",$M680=""),$N680&lt;&gt;0),$A680=""),IFERROR(INDEX(Investment!$H:$H,MATCH($E680,Investment!$F:$F,0))),IFERROR(INDEX($R681:$R1119,MATCH(SUBSTITUTE($I680,"-","",1),$K681:$K1119,0)),INDEX($R681:$R1119,MATCH($K680,$K681:$K1119,0)))))</f>
        <v/>
      </c>
      <c r="S680" s="35" t="str">
        <f t="shared" si="2"/>
        <v/>
      </c>
      <c r="T680" s="37" t="str">
        <f t="shared" si="3"/>
        <v/>
      </c>
      <c r="U680" s="38" t="str">
        <f t="shared" si="4"/>
        <v/>
      </c>
      <c r="V680" s="31" t="str">
        <f t="shared" si="5"/>
        <v/>
      </c>
      <c r="W680" s="39" t="str">
        <f>IFERROR(__xludf.DUMMYFUNCTION(" IF(Account!$F680&lt;&gt;"""", SPLIT(Account!$F680, "" ""), """")"),"")</f>
        <v/>
      </c>
      <c r="X680" s="40"/>
      <c r="Y680" s="40"/>
      <c r="Z680" s="40"/>
      <c r="AA680" s="40"/>
      <c r="AB680" s="40"/>
      <c r="AC680" s="40"/>
      <c r="AD680" s="40"/>
      <c r="AE680" s="40"/>
      <c r="AF680" s="40"/>
      <c r="AG680" s="40"/>
      <c r="AH680" s="40"/>
      <c r="AI680" s="40"/>
      <c r="AJ680" s="40"/>
      <c r="AK680" s="40"/>
    </row>
    <row r="681">
      <c r="A681" s="300"/>
      <c r="B681" s="300"/>
      <c r="C681" s="300"/>
      <c r="D681" s="300"/>
      <c r="E681" s="300"/>
      <c r="F681" s="329"/>
      <c r="G681" s="300"/>
      <c r="H681" s="300"/>
      <c r="I681" s="300"/>
      <c r="J681" s="300"/>
      <c r="K681" s="300"/>
      <c r="L681" s="329"/>
      <c r="M681" s="29" t="str">
        <f t="shared" si="1"/>
        <v/>
      </c>
      <c r="N681" s="31" t="str">
        <f>IFERROR(__xludf.DUMMYFUNCTION("IF(Account!$F681&lt;&gt;"""", VALUE(REGEXREPLACE($I681, ""\,"", ""."")), """")"),"")</f>
        <v/>
      </c>
      <c r="O681" s="33" t="str">
        <f>IF(Account!$F681&lt;&gt;"", DATEVALUE(MID($A681,4,3) &amp; LEFT($A681,3) &amp; RIGHT($A681,4)) + TIMEVALUE($B681), "")</f>
        <v/>
      </c>
      <c r="P681" s="34" t="str">
        <f>IF(Account!$F681&lt;&gt;"", DATEVALUE(MID($C681,4,3) &amp; LEFT($C681,3) &amp; RIGHT($C681,4)), "")</f>
        <v/>
      </c>
      <c r="Q681" s="35" t="str">
        <f t="array" ref="Q681">IF($R681&lt;&gt;"",IFERROR(INDEX(Investment!$A:$A,MATCH($R681,Investment!$H:$H,0))),)</f>
        <v/>
      </c>
      <c r="R681" s="36" t="str">
        <f t="array" ref="R681">IF(AND($Y681="change",$H681="EUR"),IF(AND($AA681="Crédit",$O681=$O682),$R682,IF(AND($AA681="Débit",$O681=$O680),$R680)),IF(OR(AND(OR($E681&lt;&gt;"",$M681=""),$N681&lt;&gt;0),$A681=""),IFERROR(INDEX(Investment!$H:$H,MATCH($E681,Investment!$F:$F,0))),IFERROR(INDEX($R682:$R1119,MATCH(SUBSTITUTE($I681,"-","",1),$K682:$K1119,0)),INDEX($R682:$R1119,MATCH($K681,$K682:$K1119,0)))))</f>
        <v/>
      </c>
      <c r="S681" s="35" t="str">
        <f t="shared" si="2"/>
        <v/>
      </c>
      <c r="T681" s="37" t="str">
        <f t="shared" si="3"/>
        <v/>
      </c>
      <c r="U681" s="38" t="str">
        <f t="shared" si="4"/>
        <v/>
      </c>
      <c r="V681" s="31" t="str">
        <f t="shared" si="5"/>
        <v/>
      </c>
      <c r="W681" s="39" t="str">
        <f>IFERROR(__xludf.DUMMYFUNCTION(" IF(Account!$F681&lt;&gt;"""", SPLIT(Account!$F681, "" ""), """")"),"")</f>
        <v/>
      </c>
      <c r="X681" s="40"/>
      <c r="Y681" s="40"/>
      <c r="Z681" s="40"/>
      <c r="AA681" s="40"/>
      <c r="AB681" s="40"/>
      <c r="AC681" s="40"/>
      <c r="AD681" s="40"/>
      <c r="AE681" s="40"/>
      <c r="AF681" s="40"/>
      <c r="AG681" s="40"/>
      <c r="AH681" s="40"/>
      <c r="AI681" s="40"/>
      <c r="AJ681" s="40"/>
      <c r="AK681" s="40"/>
    </row>
    <row r="682">
      <c r="A682" s="300"/>
      <c r="B682" s="300"/>
      <c r="C682" s="300"/>
      <c r="D682" s="300"/>
      <c r="E682" s="300"/>
      <c r="F682" s="329"/>
      <c r="G682" s="300"/>
      <c r="H682" s="300"/>
      <c r="I682" s="300"/>
      <c r="J682" s="300"/>
      <c r="K682" s="300"/>
      <c r="L682" s="329"/>
      <c r="M682" s="29" t="str">
        <f t="shared" si="1"/>
        <v/>
      </c>
      <c r="N682" s="31" t="str">
        <f>IFERROR(__xludf.DUMMYFUNCTION("IF(Account!$F682&lt;&gt;"""", VALUE(REGEXREPLACE($I682, ""\,"", ""."")), """")"),"")</f>
        <v/>
      </c>
      <c r="O682" s="33" t="str">
        <f>IF(Account!$F682&lt;&gt;"", DATEVALUE(MID($A682,4,3) &amp; LEFT($A682,3) &amp; RIGHT($A682,4)) + TIMEVALUE($B682), "")</f>
        <v/>
      </c>
      <c r="P682" s="34" t="str">
        <f>IF(Account!$F682&lt;&gt;"", DATEVALUE(MID($C682,4,3) &amp; LEFT($C682,3) &amp; RIGHT($C682,4)), "")</f>
        <v/>
      </c>
      <c r="Q682" s="35" t="str">
        <f t="array" ref="Q682">IF($R682&lt;&gt;"",IFERROR(INDEX(Investment!$A:$A,MATCH($R682,Investment!$H:$H,0))),)</f>
        <v/>
      </c>
      <c r="R682" s="36" t="str">
        <f t="array" ref="R682">IF(AND($Y682="change",$H682="EUR"),IF(AND($AA682="Crédit",$O682=$O683),$R683,IF(AND($AA682="Débit",$O682=$O681),$R681)),IF(OR(AND(OR($E682&lt;&gt;"",$M682=""),$N682&lt;&gt;0),$A682=""),IFERROR(INDEX(Investment!$H:$H,MATCH($E682,Investment!$F:$F,0))),IFERROR(INDEX($R683:$R1119,MATCH(SUBSTITUTE($I682,"-","",1),$K683:$K1119,0)),INDEX($R683:$R1119,MATCH($K682,$K683:$K1119,0)))))</f>
        <v/>
      </c>
      <c r="S682" s="35" t="str">
        <f t="shared" si="2"/>
        <v/>
      </c>
      <c r="T682" s="37" t="str">
        <f t="shared" si="3"/>
        <v/>
      </c>
      <c r="U682" s="38" t="str">
        <f t="shared" si="4"/>
        <v/>
      </c>
      <c r="V682" s="31" t="str">
        <f t="shared" si="5"/>
        <v/>
      </c>
      <c r="W682" s="39" t="str">
        <f>IFERROR(__xludf.DUMMYFUNCTION(" IF(Account!$F682&lt;&gt;"""", SPLIT(Account!$F682, "" ""), """")"),"")</f>
        <v/>
      </c>
      <c r="X682" s="40"/>
      <c r="Y682" s="40"/>
      <c r="Z682" s="40"/>
      <c r="AA682" s="40"/>
      <c r="AB682" s="40"/>
      <c r="AC682" s="40"/>
      <c r="AD682" s="40"/>
      <c r="AE682" s="40"/>
      <c r="AF682" s="40"/>
      <c r="AG682" s="40"/>
      <c r="AH682" s="40"/>
      <c r="AI682" s="40"/>
      <c r="AJ682" s="40"/>
      <c r="AK682" s="40"/>
    </row>
    <row r="683">
      <c r="A683" s="300"/>
      <c r="B683" s="300"/>
      <c r="C683" s="300"/>
      <c r="D683" s="300"/>
      <c r="E683" s="300"/>
      <c r="F683" s="329"/>
      <c r="G683" s="300"/>
      <c r="H683" s="300"/>
      <c r="I683" s="300"/>
      <c r="J683" s="300"/>
      <c r="K683" s="300"/>
      <c r="L683" s="329"/>
      <c r="M683" s="29" t="str">
        <f t="shared" si="1"/>
        <v/>
      </c>
      <c r="N683" s="31" t="str">
        <f>IFERROR(__xludf.DUMMYFUNCTION("IF(Account!$F683&lt;&gt;"""", VALUE(REGEXREPLACE($I683, ""\,"", ""."")), """")"),"")</f>
        <v/>
      </c>
      <c r="O683" s="33" t="str">
        <f>IF(Account!$F683&lt;&gt;"", DATEVALUE(MID($A683,4,3) &amp; LEFT($A683,3) &amp; RIGHT($A683,4)) + TIMEVALUE($B683), "")</f>
        <v/>
      </c>
      <c r="P683" s="34" t="str">
        <f>IF(Account!$F683&lt;&gt;"", DATEVALUE(MID($C683,4,3) &amp; LEFT($C683,3) &amp; RIGHT($C683,4)), "")</f>
        <v/>
      </c>
      <c r="Q683" s="35" t="str">
        <f t="array" ref="Q683">IF($R683&lt;&gt;"",IFERROR(INDEX(Investment!$A:$A,MATCH($R683,Investment!$H:$H,0))),)</f>
        <v/>
      </c>
      <c r="R683" s="36" t="str">
        <f t="array" ref="R683">IF(AND($Y683="change",$H683="EUR"),IF(AND($AA683="Crédit",$O683=$O684),$R684,IF(AND($AA683="Débit",$O683=$O682),$R682)),IF(OR(AND(OR($E683&lt;&gt;"",$M683=""),$N683&lt;&gt;0),$A683=""),IFERROR(INDEX(Investment!$H:$H,MATCH($E683,Investment!$F:$F,0))),IFERROR(INDEX($R684:$R1119,MATCH(SUBSTITUTE($I683,"-","",1),$K684:$K1119,0)),INDEX($R684:$R1119,MATCH($K683,$K684:$K1119,0)))))</f>
        <v/>
      </c>
      <c r="S683" s="35" t="str">
        <f t="shared" si="2"/>
        <v/>
      </c>
      <c r="T683" s="37" t="str">
        <f t="shared" si="3"/>
        <v/>
      </c>
      <c r="U683" s="38" t="str">
        <f t="shared" si="4"/>
        <v/>
      </c>
      <c r="V683" s="31" t="str">
        <f t="shared" si="5"/>
        <v/>
      </c>
      <c r="W683" s="39" t="str">
        <f>IFERROR(__xludf.DUMMYFUNCTION(" IF(Account!$F683&lt;&gt;"""", SPLIT(Account!$F683, "" ""), """")"),"")</f>
        <v/>
      </c>
      <c r="X683" s="40"/>
      <c r="Y683" s="40"/>
      <c r="Z683" s="40"/>
      <c r="AA683" s="40"/>
      <c r="AB683" s="40"/>
      <c r="AC683" s="40"/>
      <c r="AD683" s="40"/>
      <c r="AE683" s="40"/>
      <c r="AF683" s="40"/>
      <c r="AG683" s="40"/>
      <c r="AH683" s="40"/>
      <c r="AI683" s="40"/>
      <c r="AJ683" s="40"/>
      <c r="AK683" s="40"/>
    </row>
    <row r="684">
      <c r="A684" s="300"/>
      <c r="B684" s="300"/>
      <c r="C684" s="300"/>
      <c r="D684" s="300"/>
      <c r="E684" s="300"/>
      <c r="F684" s="329"/>
      <c r="G684" s="300"/>
      <c r="H684" s="300"/>
      <c r="I684" s="300"/>
      <c r="J684" s="300"/>
      <c r="K684" s="300"/>
      <c r="L684" s="329"/>
      <c r="M684" s="29" t="str">
        <f t="shared" si="1"/>
        <v/>
      </c>
      <c r="N684" s="31" t="str">
        <f>IFERROR(__xludf.DUMMYFUNCTION("IF(Account!$F684&lt;&gt;"""", VALUE(REGEXREPLACE($I684, ""\,"", ""."")), """")"),"")</f>
        <v/>
      </c>
      <c r="O684" s="33" t="str">
        <f>IF(Account!$F684&lt;&gt;"", DATEVALUE(MID($A684,4,3) &amp; LEFT($A684,3) &amp; RIGHT($A684,4)) + TIMEVALUE($B684), "")</f>
        <v/>
      </c>
      <c r="P684" s="34" t="str">
        <f>IF(Account!$F684&lt;&gt;"", DATEVALUE(MID($C684,4,3) &amp; LEFT($C684,3) &amp; RIGHT($C684,4)), "")</f>
        <v/>
      </c>
      <c r="Q684" s="35" t="str">
        <f t="array" ref="Q684">IF($R684&lt;&gt;"",IFERROR(INDEX(Investment!$A:$A,MATCH($R684,Investment!$H:$H,0))),)</f>
        <v/>
      </c>
      <c r="R684" s="36" t="str">
        <f t="array" ref="R684">IF(AND($Y684="change",$H684="EUR"),IF(AND($AA684="Crédit",$O684=$O685),$R685,IF(AND($AA684="Débit",$O684=$O683),$R683)),IF(OR(AND(OR($E684&lt;&gt;"",$M684=""),$N684&lt;&gt;0),$A684=""),IFERROR(INDEX(Investment!$H:$H,MATCH($E684,Investment!$F:$F,0))),IFERROR(INDEX($R685:$R1119,MATCH(SUBSTITUTE($I684,"-","",1),$K685:$K1119,0)),INDEX($R685:$R1119,MATCH($K684,$K685:$K1119,0)))))</f>
        <v/>
      </c>
      <c r="S684" s="35" t="str">
        <f t="shared" si="2"/>
        <v/>
      </c>
      <c r="T684" s="37" t="str">
        <f t="shared" si="3"/>
        <v/>
      </c>
      <c r="U684" s="38" t="str">
        <f t="shared" si="4"/>
        <v/>
      </c>
      <c r="V684" s="31" t="str">
        <f t="shared" si="5"/>
        <v/>
      </c>
      <c r="W684" s="39" t="str">
        <f>IFERROR(__xludf.DUMMYFUNCTION(" IF(Account!$F684&lt;&gt;"""", SPLIT(Account!$F684, "" ""), """")"),"")</f>
        <v/>
      </c>
      <c r="X684" s="40"/>
      <c r="Y684" s="40"/>
      <c r="Z684" s="40"/>
      <c r="AA684" s="40"/>
      <c r="AB684" s="40"/>
      <c r="AC684" s="40"/>
      <c r="AD684" s="40"/>
      <c r="AE684" s="40"/>
      <c r="AF684" s="40"/>
      <c r="AG684" s="40"/>
      <c r="AH684" s="40"/>
      <c r="AI684" s="40"/>
      <c r="AJ684" s="40"/>
      <c r="AK684" s="40"/>
    </row>
    <row r="685">
      <c r="A685" s="300"/>
      <c r="B685" s="300"/>
      <c r="C685" s="300"/>
      <c r="D685" s="300"/>
      <c r="E685" s="300"/>
      <c r="F685" s="329"/>
      <c r="G685" s="300"/>
      <c r="H685" s="300"/>
      <c r="I685" s="300"/>
      <c r="J685" s="300"/>
      <c r="K685" s="300"/>
      <c r="L685" s="329"/>
      <c r="M685" s="29" t="str">
        <f t="shared" si="1"/>
        <v/>
      </c>
      <c r="N685" s="31" t="str">
        <f>IFERROR(__xludf.DUMMYFUNCTION("IF(Account!$F685&lt;&gt;"""", VALUE(REGEXREPLACE($I685, ""\,"", ""."")), """")"),"")</f>
        <v/>
      </c>
      <c r="O685" s="33" t="str">
        <f>IF(Account!$F685&lt;&gt;"", DATEVALUE(MID($A685,4,3) &amp; LEFT($A685,3) &amp; RIGHT($A685,4)) + TIMEVALUE($B685), "")</f>
        <v/>
      </c>
      <c r="P685" s="34" t="str">
        <f>IF(Account!$F685&lt;&gt;"", DATEVALUE(MID($C685,4,3) &amp; LEFT($C685,3) &amp; RIGHT($C685,4)), "")</f>
        <v/>
      </c>
      <c r="Q685" s="35" t="str">
        <f t="array" ref="Q685">IF($R685&lt;&gt;"",IFERROR(INDEX(Investment!$A:$A,MATCH($R685,Investment!$H:$H,0))),)</f>
        <v/>
      </c>
      <c r="R685" s="36" t="str">
        <f t="array" ref="R685">IF(AND($Y685="change",$H685="EUR"),IF(AND($AA685="Crédit",$O685=$O686),$R686,IF(AND($AA685="Débit",$O685=$O684),$R684)),IF(OR(AND(OR($E685&lt;&gt;"",$M685=""),$N685&lt;&gt;0),$A685=""),IFERROR(INDEX(Investment!$H:$H,MATCH($E685,Investment!$F:$F,0))),IFERROR(INDEX($R686:$R1119,MATCH(SUBSTITUTE($I685,"-","",1),$K686:$K1119,0)),INDEX($R686:$R1119,MATCH($K685,$K686:$K1119,0)))))</f>
        <v/>
      </c>
      <c r="S685" s="35" t="str">
        <f t="shared" si="2"/>
        <v/>
      </c>
      <c r="T685" s="37" t="str">
        <f t="shared" si="3"/>
        <v/>
      </c>
      <c r="U685" s="38" t="str">
        <f t="shared" si="4"/>
        <v/>
      </c>
      <c r="V685" s="31" t="str">
        <f t="shared" si="5"/>
        <v/>
      </c>
      <c r="W685" s="39" t="str">
        <f>IFERROR(__xludf.DUMMYFUNCTION(" IF(Account!$F685&lt;&gt;"""", SPLIT(Account!$F685, "" ""), """")"),"")</f>
        <v/>
      </c>
      <c r="X685" s="40"/>
      <c r="Y685" s="40"/>
      <c r="Z685" s="40"/>
      <c r="AA685" s="40"/>
      <c r="AB685" s="40"/>
      <c r="AC685" s="40"/>
      <c r="AD685" s="40"/>
      <c r="AE685" s="40"/>
      <c r="AF685" s="40"/>
      <c r="AG685" s="40"/>
      <c r="AH685" s="40"/>
      <c r="AI685" s="40"/>
      <c r="AJ685" s="40"/>
      <c r="AK685" s="40"/>
    </row>
    <row r="686">
      <c r="A686" s="300"/>
      <c r="B686" s="300"/>
      <c r="C686" s="300"/>
      <c r="D686" s="300"/>
      <c r="E686" s="300"/>
      <c r="F686" s="329"/>
      <c r="G686" s="300"/>
      <c r="H686" s="300"/>
      <c r="I686" s="300"/>
      <c r="J686" s="300"/>
      <c r="K686" s="300"/>
      <c r="L686" s="329"/>
      <c r="M686" s="29" t="str">
        <f t="shared" si="1"/>
        <v/>
      </c>
      <c r="N686" s="31" t="str">
        <f>IFERROR(__xludf.DUMMYFUNCTION("IF(Account!$F686&lt;&gt;"""", VALUE(REGEXREPLACE($I686, ""\,"", ""."")), """")"),"")</f>
        <v/>
      </c>
      <c r="O686" s="33" t="str">
        <f>IF(Account!$F686&lt;&gt;"", DATEVALUE(MID($A686,4,3) &amp; LEFT($A686,3) &amp; RIGHT($A686,4)) + TIMEVALUE($B686), "")</f>
        <v/>
      </c>
      <c r="P686" s="34" t="str">
        <f>IF(Account!$F686&lt;&gt;"", DATEVALUE(MID($C686,4,3) &amp; LEFT($C686,3) &amp; RIGHT($C686,4)), "")</f>
        <v/>
      </c>
      <c r="Q686" s="35" t="str">
        <f t="array" ref="Q686">IF($R686&lt;&gt;"",IFERROR(INDEX(Investment!$A:$A,MATCH($R686,Investment!$H:$H,0))),)</f>
        <v/>
      </c>
      <c r="R686" s="36" t="str">
        <f t="array" ref="R686">IF(AND($Y686="change",$H686="EUR"),IF(AND($AA686="Crédit",$O686=$O687),$R687,IF(AND($AA686="Débit",$O686=$O685),$R685)),IF(OR(AND(OR($E686&lt;&gt;"",$M686=""),$N686&lt;&gt;0),$A686=""),IFERROR(INDEX(Investment!$H:$H,MATCH($E686,Investment!$F:$F,0))),IFERROR(INDEX($R687:$R1119,MATCH(SUBSTITUTE($I686,"-","",1),$K687:$K1119,0)),INDEX($R687:$R1119,MATCH($K686,$K687:$K1119,0)))))</f>
        <v/>
      </c>
      <c r="S686" s="35" t="str">
        <f t="shared" si="2"/>
        <v/>
      </c>
      <c r="T686" s="37" t="str">
        <f t="shared" si="3"/>
        <v/>
      </c>
      <c r="U686" s="38" t="str">
        <f t="shared" si="4"/>
        <v/>
      </c>
      <c r="V686" s="31" t="str">
        <f t="shared" si="5"/>
        <v/>
      </c>
      <c r="W686" s="39" t="str">
        <f>IFERROR(__xludf.DUMMYFUNCTION(" IF(Account!$F686&lt;&gt;"""", SPLIT(Account!$F686, "" ""), """")"),"")</f>
        <v/>
      </c>
      <c r="X686" s="40"/>
      <c r="Y686" s="40"/>
      <c r="Z686" s="40"/>
      <c r="AA686" s="40"/>
      <c r="AB686" s="40"/>
      <c r="AC686" s="40"/>
      <c r="AD686" s="40"/>
      <c r="AE686" s="40"/>
      <c r="AF686" s="40"/>
      <c r="AG686" s="40"/>
      <c r="AH686" s="40"/>
      <c r="AI686" s="40"/>
      <c r="AJ686" s="40"/>
      <c r="AK686" s="40"/>
    </row>
    <row r="687">
      <c r="A687" s="300"/>
      <c r="B687" s="300"/>
      <c r="C687" s="300"/>
      <c r="D687" s="300"/>
      <c r="E687" s="300"/>
      <c r="F687" s="329"/>
      <c r="G687" s="300"/>
      <c r="H687" s="300"/>
      <c r="I687" s="300"/>
      <c r="J687" s="300"/>
      <c r="K687" s="300"/>
      <c r="L687" s="329"/>
      <c r="M687" s="29" t="str">
        <f t="shared" si="1"/>
        <v/>
      </c>
      <c r="N687" s="31" t="str">
        <f>IFERROR(__xludf.DUMMYFUNCTION("IF(Account!$F687&lt;&gt;"""", VALUE(REGEXREPLACE($I687, ""\,"", ""."")), """")"),"")</f>
        <v/>
      </c>
      <c r="O687" s="33" t="str">
        <f>IF(Account!$F687&lt;&gt;"", DATEVALUE(MID($A687,4,3) &amp; LEFT($A687,3) &amp; RIGHT($A687,4)) + TIMEVALUE($B687), "")</f>
        <v/>
      </c>
      <c r="P687" s="34" t="str">
        <f>IF(Account!$F687&lt;&gt;"", DATEVALUE(MID($C687,4,3) &amp; LEFT($C687,3) &amp; RIGHT($C687,4)), "")</f>
        <v/>
      </c>
      <c r="Q687" s="35" t="str">
        <f t="array" ref="Q687">IF($R687&lt;&gt;"",IFERROR(INDEX(Investment!$A:$A,MATCH($R687,Investment!$H:$H,0))),)</f>
        <v/>
      </c>
      <c r="R687" s="36" t="str">
        <f t="array" ref="R687">IF(AND($Y687="change",$H687="EUR"),IF(AND($AA687="Crédit",$O687=$O688),$R688,IF(AND($AA687="Débit",$O687=$O686),$R686)),IF(OR(AND(OR($E687&lt;&gt;"",$M687=""),$N687&lt;&gt;0),$A687=""),IFERROR(INDEX(Investment!$H:$H,MATCH($E687,Investment!$F:$F,0))),IFERROR(INDEX($R688:$R1119,MATCH(SUBSTITUTE($I687,"-","",1),$K688:$K1119,0)),INDEX($R688:$R1119,MATCH($K687,$K688:$K1119,0)))))</f>
        <v/>
      </c>
      <c r="S687" s="35" t="str">
        <f t="shared" si="2"/>
        <v/>
      </c>
      <c r="T687" s="37" t="str">
        <f t="shared" si="3"/>
        <v/>
      </c>
      <c r="U687" s="38" t="str">
        <f t="shared" si="4"/>
        <v/>
      </c>
      <c r="V687" s="31" t="str">
        <f t="shared" si="5"/>
        <v/>
      </c>
      <c r="W687" s="39" t="str">
        <f>IFERROR(__xludf.DUMMYFUNCTION(" IF(Account!$F687&lt;&gt;"""", SPLIT(Account!$F687, "" ""), """")"),"")</f>
        <v/>
      </c>
      <c r="X687" s="40"/>
      <c r="Y687" s="40"/>
      <c r="Z687" s="40"/>
      <c r="AA687" s="40"/>
      <c r="AB687" s="40"/>
      <c r="AC687" s="40"/>
      <c r="AD687" s="40"/>
      <c r="AE687" s="40"/>
      <c r="AF687" s="40"/>
      <c r="AG687" s="40"/>
      <c r="AH687" s="40"/>
      <c r="AI687" s="40"/>
      <c r="AJ687" s="40"/>
      <c r="AK687" s="40"/>
    </row>
    <row r="688">
      <c r="A688" s="300"/>
      <c r="B688" s="300"/>
      <c r="C688" s="300"/>
      <c r="D688" s="300"/>
      <c r="E688" s="300"/>
      <c r="F688" s="329"/>
      <c r="G688" s="300"/>
      <c r="H688" s="300"/>
      <c r="I688" s="300"/>
      <c r="J688" s="300"/>
      <c r="K688" s="300"/>
      <c r="L688" s="329"/>
      <c r="M688" s="29" t="str">
        <f t="shared" si="1"/>
        <v/>
      </c>
      <c r="N688" s="31" t="str">
        <f>IFERROR(__xludf.DUMMYFUNCTION("IF(Account!$F688&lt;&gt;"""", VALUE(REGEXREPLACE($I688, ""\,"", ""."")), """")"),"")</f>
        <v/>
      </c>
      <c r="O688" s="33" t="str">
        <f>IF(Account!$F688&lt;&gt;"", DATEVALUE(MID($A688,4,3) &amp; LEFT($A688,3) &amp; RIGHT($A688,4)) + TIMEVALUE($B688), "")</f>
        <v/>
      </c>
      <c r="P688" s="34" t="str">
        <f>IF(Account!$F688&lt;&gt;"", DATEVALUE(MID($C688,4,3) &amp; LEFT($C688,3) &amp; RIGHT($C688,4)), "")</f>
        <v/>
      </c>
      <c r="Q688" s="35" t="str">
        <f t="array" ref="Q688">IF($R688&lt;&gt;"",IFERROR(INDEX(Investment!$A:$A,MATCH($R688,Investment!$H:$H,0))),)</f>
        <v/>
      </c>
      <c r="R688" s="36" t="str">
        <f t="array" ref="R688">IF(AND($Y688="change",$H688="EUR"),IF(AND($AA688="Crédit",$O688=$O689),$R689,IF(AND($AA688="Débit",$O688=$O687),$R687)),IF(OR(AND(OR($E688&lt;&gt;"",$M688=""),$N688&lt;&gt;0),$A688=""),IFERROR(INDEX(Investment!$H:$H,MATCH($E688,Investment!$F:$F,0))),IFERROR(INDEX($R689:$R1119,MATCH(SUBSTITUTE($I688,"-","",1),$K689:$K1119,0)),INDEX($R689:$R1119,MATCH($K688,$K689:$K1119,0)))))</f>
        <v/>
      </c>
      <c r="S688" s="35" t="str">
        <f t="shared" si="2"/>
        <v/>
      </c>
      <c r="T688" s="37" t="str">
        <f t="shared" si="3"/>
        <v/>
      </c>
      <c r="U688" s="38" t="str">
        <f t="shared" si="4"/>
        <v/>
      </c>
      <c r="V688" s="31" t="str">
        <f t="shared" si="5"/>
        <v/>
      </c>
      <c r="W688" s="39" t="str">
        <f>IFERROR(__xludf.DUMMYFUNCTION(" IF(Account!$F688&lt;&gt;"""", SPLIT(Account!$F688, "" ""), """")"),"")</f>
        <v/>
      </c>
      <c r="X688" s="40"/>
      <c r="Y688" s="40"/>
      <c r="Z688" s="40"/>
      <c r="AA688" s="40"/>
      <c r="AB688" s="40"/>
      <c r="AC688" s="40"/>
      <c r="AD688" s="40"/>
      <c r="AE688" s="40"/>
      <c r="AF688" s="40"/>
      <c r="AG688" s="40"/>
      <c r="AH688" s="40"/>
      <c r="AI688" s="40"/>
      <c r="AJ688" s="40"/>
      <c r="AK688" s="40"/>
    </row>
    <row r="689">
      <c r="A689" s="300"/>
      <c r="B689" s="300"/>
      <c r="C689" s="300"/>
      <c r="D689" s="300"/>
      <c r="E689" s="300"/>
      <c r="F689" s="329"/>
      <c r="G689" s="300"/>
      <c r="H689" s="300"/>
      <c r="I689" s="300"/>
      <c r="J689" s="300"/>
      <c r="K689" s="300"/>
      <c r="L689" s="329"/>
      <c r="M689" s="29" t="str">
        <f t="shared" si="1"/>
        <v/>
      </c>
      <c r="N689" s="31" t="str">
        <f>IFERROR(__xludf.DUMMYFUNCTION("IF(Account!$F689&lt;&gt;"""", VALUE(REGEXREPLACE($I689, ""\,"", ""."")), """")"),"")</f>
        <v/>
      </c>
      <c r="O689" s="33" t="str">
        <f>IF(Account!$F689&lt;&gt;"", DATEVALUE(MID($A689,4,3) &amp; LEFT($A689,3) &amp; RIGHT($A689,4)) + TIMEVALUE($B689), "")</f>
        <v/>
      </c>
      <c r="P689" s="34" t="str">
        <f>IF(Account!$F689&lt;&gt;"", DATEVALUE(MID($C689,4,3) &amp; LEFT($C689,3) &amp; RIGHT($C689,4)), "")</f>
        <v/>
      </c>
      <c r="Q689" s="35" t="str">
        <f t="array" ref="Q689">IF($R689&lt;&gt;"",IFERROR(INDEX(Investment!$A:$A,MATCH($R689,Investment!$H:$H,0))),)</f>
        <v/>
      </c>
      <c r="R689" s="36" t="str">
        <f t="array" ref="R689">IF(AND($Y689="change",$H689="EUR"),IF(AND($AA689="Crédit",$O689=$O690),$R690,IF(AND($AA689="Débit",$O689=$O688),$R688)),IF(OR(AND(OR($E689&lt;&gt;"",$M689=""),$N689&lt;&gt;0),$A689=""),IFERROR(INDEX(Investment!$H:$H,MATCH($E689,Investment!$F:$F,0))),IFERROR(INDEX($R690:$R1119,MATCH(SUBSTITUTE($I689,"-","",1),$K690:$K1119,0)),INDEX($R690:$R1119,MATCH($K689,$K690:$K1119,0)))))</f>
        <v/>
      </c>
      <c r="S689" s="35" t="str">
        <f t="shared" si="2"/>
        <v/>
      </c>
      <c r="T689" s="37" t="str">
        <f t="shared" si="3"/>
        <v/>
      </c>
      <c r="U689" s="38" t="str">
        <f t="shared" si="4"/>
        <v/>
      </c>
      <c r="V689" s="31" t="str">
        <f t="shared" si="5"/>
        <v/>
      </c>
      <c r="W689" s="39" t="str">
        <f>IFERROR(__xludf.DUMMYFUNCTION(" IF(Account!$F689&lt;&gt;"""", SPLIT(Account!$F689, "" ""), """")"),"")</f>
        <v/>
      </c>
      <c r="X689" s="40"/>
      <c r="Y689" s="40"/>
      <c r="Z689" s="40"/>
      <c r="AA689" s="40"/>
      <c r="AB689" s="40"/>
      <c r="AC689" s="40"/>
      <c r="AD689" s="40"/>
      <c r="AE689" s="40"/>
      <c r="AF689" s="40"/>
      <c r="AG689" s="40"/>
      <c r="AH689" s="40"/>
      <c r="AI689" s="40"/>
      <c r="AJ689" s="40"/>
      <c r="AK689" s="40"/>
    </row>
    <row r="690">
      <c r="A690" s="300"/>
      <c r="B690" s="300"/>
      <c r="C690" s="300"/>
      <c r="D690" s="300"/>
      <c r="E690" s="300"/>
      <c r="F690" s="329"/>
      <c r="G690" s="300"/>
      <c r="H690" s="300"/>
      <c r="I690" s="300"/>
      <c r="J690" s="300"/>
      <c r="K690" s="300"/>
      <c r="L690" s="329"/>
      <c r="M690" s="29" t="str">
        <f t="shared" si="1"/>
        <v/>
      </c>
      <c r="N690" s="31" t="str">
        <f>IFERROR(__xludf.DUMMYFUNCTION("IF(Account!$F690&lt;&gt;"""", VALUE(REGEXREPLACE($I690, ""\,"", ""."")), """")"),"")</f>
        <v/>
      </c>
      <c r="O690" s="33" t="str">
        <f>IF(Account!$F690&lt;&gt;"", DATEVALUE(MID($A690,4,3) &amp; LEFT($A690,3) &amp; RIGHT($A690,4)) + TIMEVALUE($B690), "")</f>
        <v/>
      </c>
      <c r="P690" s="34" t="str">
        <f>IF(Account!$F690&lt;&gt;"", DATEVALUE(MID($C690,4,3) &amp; LEFT($C690,3) &amp; RIGHT($C690,4)), "")</f>
        <v/>
      </c>
      <c r="Q690" s="35" t="str">
        <f t="array" ref="Q690">IF($R690&lt;&gt;"",IFERROR(INDEX(Investment!$A:$A,MATCH($R690,Investment!$H:$H,0))),)</f>
        <v/>
      </c>
      <c r="R690" s="36" t="str">
        <f t="array" ref="R690">IF(AND($Y690="change",$H690="EUR"),IF(AND($AA690="Crédit",$O690=$O691),$R691,IF(AND($AA690="Débit",$O690=$O689),$R689)),IF(OR(AND(OR($E690&lt;&gt;"",$M690=""),$N690&lt;&gt;0),$A690=""),IFERROR(INDEX(Investment!$H:$H,MATCH($E690,Investment!$F:$F,0))),IFERROR(INDEX($R691:$R1119,MATCH(SUBSTITUTE($I690,"-","",1),$K691:$K1119,0)),INDEX($R691:$R1119,MATCH($K690,$K691:$K1119,0)))))</f>
        <v/>
      </c>
      <c r="S690" s="35" t="str">
        <f t="shared" si="2"/>
        <v/>
      </c>
      <c r="T690" s="37" t="str">
        <f t="shared" si="3"/>
        <v/>
      </c>
      <c r="U690" s="38" t="str">
        <f t="shared" si="4"/>
        <v/>
      </c>
      <c r="V690" s="31" t="str">
        <f t="shared" si="5"/>
        <v/>
      </c>
      <c r="W690" s="39" t="str">
        <f>IFERROR(__xludf.DUMMYFUNCTION(" IF(Account!$F690&lt;&gt;"""", SPLIT(Account!$F690, "" ""), """")"),"")</f>
        <v/>
      </c>
      <c r="X690" s="40"/>
      <c r="Y690" s="40"/>
      <c r="Z690" s="40"/>
      <c r="AA690" s="40"/>
      <c r="AB690" s="40"/>
      <c r="AC690" s="40"/>
      <c r="AD690" s="40"/>
      <c r="AE690" s="40"/>
      <c r="AF690" s="40"/>
      <c r="AG690" s="40"/>
      <c r="AH690" s="40"/>
      <c r="AI690" s="40"/>
      <c r="AJ690" s="40"/>
      <c r="AK690" s="40"/>
    </row>
    <row r="691">
      <c r="A691" s="300"/>
      <c r="B691" s="300"/>
      <c r="C691" s="300"/>
      <c r="D691" s="300"/>
      <c r="E691" s="300"/>
      <c r="F691" s="329"/>
      <c r="G691" s="300"/>
      <c r="H691" s="300"/>
      <c r="I691" s="300"/>
      <c r="J691" s="300"/>
      <c r="K691" s="300"/>
      <c r="L691" s="329"/>
      <c r="M691" s="29" t="str">
        <f t="shared" si="1"/>
        <v/>
      </c>
      <c r="N691" s="31" t="str">
        <f>IFERROR(__xludf.DUMMYFUNCTION("IF(Account!$F691&lt;&gt;"""", VALUE(REGEXREPLACE($I691, ""\,"", ""."")), """")"),"")</f>
        <v/>
      </c>
      <c r="O691" s="33" t="str">
        <f>IF(Account!$F691&lt;&gt;"", DATEVALUE(MID($A691,4,3) &amp; LEFT($A691,3) &amp; RIGHT($A691,4)) + TIMEVALUE($B691), "")</f>
        <v/>
      </c>
      <c r="P691" s="34" t="str">
        <f>IF(Account!$F691&lt;&gt;"", DATEVALUE(MID($C691,4,3) &amp; LEFT($C691,3) &amp; RIGHT($C691,4)), "")</f>
        <v/>
      </c>
      <c r="Q691" s="35" t="str">
        <f t="array" ref="Q691">IF($R691&lt;&gt;"",IFERROR(INDEX(Investment!$A:$A,MATCH($R691,Investment!$H:$H,0))),)</f>
        <v/>
      </c>
      <c r="R691" s="36" t="str">
        <f t="array" ref="R691">IF(AND($Y691="change",$H691="EUR"),IF(AND($AA691="Crédit",$O691=$O692),$R692,IF(AND($AA691="Débit",$O691=$O690),$R690)),IF(OR(AND(OR($E691&lt;&gt;"",$M691=""),$N691&lt;&gt;0),$A691=""),IFERROR(INDEX(Investment!$H:$H,MATCH($E691,Investment!$F:$F,0))),IFERROR(INDEX($R692:$R1119,MATCH(SUBSTITUTE($I691,"-","",1),$K692:$K1119,0)),INDEX($R692:$R1119,MATCH($K691,$K692:$K1119,0)))))</f>
        <v/>
      </c>
      <c r="S691" s="35" t="str">
        <f t="shared" si="2"/>
        <v/>
      </c>
      <c r="T691" s="37" t="str">
        <f t="shared" si="3"/>
        <v/>
      </c>
      <c r="U691" s="38" t="str">
        <f t="shared" si="4"/>
        <v/>
      </c>
      <c r="V691" s="31" t="str">
        <f t="shared" si="5"/>
        <v/>
      </c>
      <c r="W691" s="39" t="str">
        <f>IFERROR(__xludf.DUMMYFUNCTION(" IF(Account!$F691&lt;&gt;"""", SPLIT(Account!$F691, "" ""), """")"),"")</f>
        <v/>
      </c>
      <c r="X691" s="40"/>
      <c r="Y691" s="40"/>
      <c r="Z691" s="40"/>
      <c r="AA691" s="40"/>
      <c r="AB691" s="40"/>
      <c r="AC691" s="40"/>
      <c r="AD691" s="40"/>
      <c r="AE691" s="40"/>
      <c r="AF691" s="40"/>
      <c r="AG691" s="40"/>
      <c r="AH691" s="40"/>
      <c r="AI691" s="40"/>
      <c r="AJ691" s="40"/>
      <c r="AK691" s="40"/>
    </row>
    <row r="692">
      <c r="A692" s="300"/>
      <c r="B692" s="300"/>
      <c r="C692" s="300"/>
      <c r="D692" s="300"/>
      <c r="E692" s="300"/>
      <c r="F692" s="329"/>
      <c r="G692" s="300"/>
      <c r="H692" s="300"/>
      <c r="I692" s="300"/>
      <c r="J692" s="300"/>
      <c r="K692" s="300"/>
      <c r="L692" s="329"/>
      <c r="M692" s="29" t="str">
        <f t="shared" si="1"/>
        <v/>
      </c>
      <c r="N692" s="31" t="str">
        <f>IFERROR(__xludf.DUMMYFUNCTION("IF(Account!$F692&lt;&gt;"""", VALUE(REGEXREPLACE($I692, ""\,"", ""."")), """")"),"")</f>
        <v/>
      </c>
      <c r="O692" s="33" t="str">
        <f>IF(Account!$F692&lt;&gt;"", DATEVALUE(MID($A692,4,3) &amp; LEFT($A692,3) &amp; RIGHT($A692,4)) + TIMEVALUE($B692), "")</f>
        <v/>
      </c>
      <c r="P692" s="34" t="str">
        <f>IF(Account!$F692&lt;&gt;"", DATEVALUE(MID($C692,4,3) &amp; LEFT($C692,3) &amp; RIGHT($C692,4)), "")</f>
        <v/>
      </c>
      <c r="Q692" s="35" t="str">
        <f t="array" ref="Q692">IF($R692&lt;&gt;"",IFERROR(INDEX(Investment!$A:$A,MATCH($R692,Investment!$H:$H,0))),)</f>
        <v/>
      </c>
      <c r="R692" s="36" t="str">
        <f t="array" ref="R692">IF(AND($Y692="change",$H692="EUR"),IF(AND($AA692="Crédit",$O692=$O693),$R693,IF(AND($AA692="Débit",$O692=$O691),$R691)),IF(OR(AND(OR($E692&lt;&gt;"",$M692=""),$N692&lt;&gt;0),$A692=""),IFERROR(INDEX(Investment!$H:$H,MATCH($E692,Investment!$F:$F,0))),IFERROR(INDEX($R693:$R1119,MATCH(SUBSTITUTE($I692,"-","",1),$K693:$K1119,0)),INDEX($R693:$R1119,MATCH($K692,$K693:$K1119,0)))))</f>
        <v/>
      </c>
      <c r="S692" s="35" t="str">
        <f t="shared" si="2"/>
        <v/>
      </c>
      <c r="T692" s="37" t="str">
        <f t="shared" si="3"/>
        <v/>
      </c>
      <c r="U692" s="38" t="str">
        <f t="shared" si="4"/>
        <v/>
      </c>
      <c r="V692" s="31" t="str">
        <f t="shared" si="5"/>
        <v/>
      </c>
      <c r="W692" s="39" t="str">
        <f>IFERROR(__xludf.DUMMYFUNCTION(" IF(Account!$F692&lt;&gt;"""", SPLIT(Account!$F692, "" ""), """")"),"")</f>
        <v/>
      </c>
      <c r="X692" s="40"/>
      <c r="Y692" s="40"/>
      <c r="Z692" s="40"/>
      <c r="AA692" s="40"/>
      <c r="AB692" s="40"/>
      <c r="AC692" s="40"/>
      <c r="AD692" s="40"/>
      <c r="AE692" s="40"/>
      <c r="AF692" s="40"/>
      <c r="AG692" s="40"/>
      <c r="AH692" s="40"/>
      <c r="AI692" s="40"/>
      <c r="AJ692" s="40"/>
      <c r="AK692" s="40"/>
    </row>
    <row r="693">
      <c r="A693" s="300"/>
      <c r="B693" s="300"/>
      <c r="C693" s="300"/>
      <c r="D693" s="300"/>
      <c r="E693" s="300"/>
      <c r="F693" s="329"/>
      <c r="G693" s="300"/>
      <c r="H693" s="300"/>
      <c r="I693" s="300"/>
      <c r="J693" s="300"/>
      <c r="K693" s="300"/>
      <c r="L693" s="329"/>
      <c r="M693" s="29" t="str">
        <f t="shared" si="1"/>
        <v/>
      </c>
      <c r="N693" s="31" t="str">
        <f>IFERROR(__xludf.DUMMYFUNCTION("IF(Account!$F693&lt;&gt;"""", VALUE(REGEXREPLACE($I693, ""\,"", ""."")), """")"),"")</f>
        <v/>
      </c>
      <c r="O693" s="33" t="str">
        <f>IF(Account!$F693&lt;&gt;"", DATEVALUE(MID($A693,4,3) &amp; LEFT($A693,3) &amp; RIGHT($A693,4)) + TIMEVALUE($B693), "")</f>
        <v/>
      </c>
      <c r="P693" s="34" t="str">
        <f>IF(Account!$F693&lt;&gt;"", DATEVALUE(MID($C693,4,3) &amp; LEFT($C693,3) &amp; RIGHT($C693,4)), "")</f>
        <v/>
      </c>
      <c r="Q693" s="35" t="str">
        <f t="array" ref="Q693">IF($R693&lt;&gt;"",IFERROR(INDEX(Investment!$A:$A,MATCH($R693,Investment!$H:$H,0))),)</f>
        <v/>
      </c>
      <c r="R693" s="36" t="str">
        <f t="array" ref="R693">IF(AND($Y693="change",$H693="EUR"),IF(AND($AA693="Crédit",$O693=$O694),$R694,IF(AND($AA693="Débit",$O693=$O692),$R692)),IF(OR(AND(OR($E693&lt;&gt;"",$M693=""),$N693&lt;&gt;0),$A693=""),IFERROR(INDEX(Investment!$H:$H,MATCH($E693,Investment!$F:$F,0))),IFERROR(INDEX($R694:$R1119,MATCH(SUBSTITUTE($I693,"-","",1),$K694:$K1119,0)),INDEX($R694:$R1119,MATCH($K693,$K694:$K1119,0)))))</f>
        <v/>
      </c>
      <c r="S693" s="35" t="str">
        <f t="shared" si="2"/>
        <v/>
      </c>
      <c r="T693" s="37" t="str">
        <f t="shared" si="3"/>
        <v/>
      </c>
      <c r="U693" s="38" t="str">
        <f t="shared" si="4"/>
        <v/>
      </c>
      <c r="V693" s="31" t="str">
        <f t="shared" si="5"/>
        <v/>
      </c>
      <c r="W693" s="39" t="str">
        <f>IFERROR(__xludf.DUMMYFUNCTION(" IF(Account!$F693&lt;&gt;"""", SPLIT(Account!$F693, "" ""), """")"),"")</f>
        <v/>
      </c>
      <c r="X693" s="40"/>
      <c r="Y693" s="40"/>
      <c r="Z693" s="40"/>
      <c r="AA693" s="40"/>
      <c r="AB693" s="40"/>
      <c r="AC693" s="40"/>
      <c r="AD693" s="40"/>
      <c r="AE693" s="40"/>
      <c r="AF693" s="40"/>
      <c r="AG693" s="40"/>
      <c r="AH693" s="40"/>
      <c r="AI693" s="40"/>
      <c r="AJ693" s="40"/>
      <c r="AK693" s="40"/>
    </row>
    <row r="694">
      <c r="A694" s="300"/>
      <c r="B694" s="300"/>
      <c r="C694" s="300"/>
      <c r="D694" s="300"/>
      <c r="E694" s="300"/>
      <c r="F694" s="329"/>
      <c r="G694" s="300"/>
      <c r="H694" s="300"/>
      <c r="I694" s="300"/>
      <c r="J694" s="300"/>
      <c r="K694" s="300"/>
      <c r="L694" s="329"/>
      <c r="M694" s="29" t="str">
        <f t="shared" si="1"/>
        <v/>
      </c>
      <c r="N694" s="31" t="str">
        <f>IFERROR(__xludf.DUMMYFUNCTION("IF(Account!$F694&lt;&gt;"""", VALUE(REGEXREPLACE($I694, ""\,"", ""."")), """")"),"")</f>
        <v/>
      </c>
      <c r="O694" s="33" t="str">
        <f>IF(Account!$F694&lt;&gt;"", DATEVALUE(MID($A694,4,3) &amp; LEFT($A694,3) &amp; RIGHT($A694,4)) + TIMEVALUE($B694), "")</f>
        <v/>
      </c>
      <c r="P694" s="34" t="str">
        <f>IF(Account!$F694&lt;&gt;"", DATEVALUE(MID($C694,4,3) &amp; LEFT($C694,3) &amp; RIGHT($C694,4)), "")</f>
        <v/>
      </c>
      <c r="Q694" s="35" t="str">
        <f t="array" ref="Q694">IF($R694&lt;&gt;"",IFERROR(INDEX(Investment!$A:$A,MATCH($R694,Investment!$H:$H,0))),)</f>
        <v/>
      </c>
      <c r="R694" s="36" t="str">
        <f t="array" ref="R694">IF(AND($Y694="change",$H694="EUR"),IF(AND($AA694="Crédit",$O694=$O695),$R695,IF(AND($AA694="Débit",$O694=$O693),$R693)),IF(OR(AND(OR($E694&lt;&gt;"",$M694=""),$N694&lt;&gt;0),$A694=""),IFERROR(INDEX(Investment!$H:$H,MATCH($E694,Investment!$F:$F,0))),IFERROR(INDEX($R695:$R1119,MATCH(SUBSTITUTE($I694,"-","",1),$K695:$K1119,0)),INDEX($R695:$R1119,MATCH($K694,$K695:$K1119,0)))))</f>
        <v/>
      </c>
      <c r="S694" s="35" t="str">
        <f t="shared" si="2"/>
        <v/>
      </c>
      <c r="T694" s="37" t="str">
        <f t="shared" si="3"/>
        <v/>
      </c>
      <c r="U694" s="38" t="str">
        <f t="shared" si="4"/>
        <v/>
      </c>
      <c r="V694" s="31" t="str">
        <f t="shared" si="5"/>
        <v/>
      </c>
      <c r="W694" s="39" t="str">
        <f>IFERROR(__xludf.DUMMYFUNCTION(" IF(Account!$F694&lt;&gt;"""", SPLIT(Account!$F694, "" ""), """")"),"")</f>
        <v/>
      </c>
      <c r="X694" s="40"/>
      <c r="Y694" s="40"/>
      <c r="Z694" s="40"/>
      <c r="AA694" s="40"/>
      <c r="AB694" s="40"/>
      <c r="AC694" s="40"/>
      <c r="AD694" s="40"/>
      <c r="AE694" s="40"/>
      <c r="AF694" s="40"/>
      <c r="AG694" s="40"/>
      <c r="AH694" s="40"/>
      <c r="AI694" s="40"/>
      <c r="AJ694" s="40"/>
      <c r="AK694" s="40"/>
    </row>
    <row r="695">
      <c r="A695" s="300"/>
      <c r="B695" s="300"/>
      <c r="C695" s="300"/>
      <c r="D695" s="300"/>
      <c r="E695" s="300"/>
      <c r="F695" s="329"/>
      <c r="G695" s="300"/>
      <c r="H695" s="300"/>
      <c r="I695" s="300"/>
      <c r="J695" s="300"/>
      <c r="K695" s="300"/>
      <c r="L695" s="329"/>
      <c r="M695" s="29" t="str">
        <f t="shared" si="1"/>
        <v/>
      </c>
      <c r="N695" s="31" t="str">
        <f>IFERROR(__xludf.DUMMYFUNCTION("IF(Account!$F695&lt;&gt;"""", VALUE(REGEXREPLACE($I695, ""\,"", ""."")), """")"),"")</f>
        <v/>
      </c>
      <c r="O695" s="33" t="str">
        <f>IF(Account!$F695&lt;&gt;"", DATEVALUE(MID($A695,4,3) &amp; LEFT($A695,3) &amp; RIGHT($A695,4)) + TIMEVALUE($B695), "")</f>
        <v/>
      </c>
      <c r="P695" s="34" t="str">
        <f>IF(Account!$F695&lt;&gt;"", DATEVALUE(MID($C695,4,3) &amp; LEFT($C695,3) &amp; RIGHT($C695,4)), "")</f>
        <v/>
      </c>
      <c r="Q695" s="35" t="str">
        <f t="array" ref="Q695">IF($R695&lt;&gt;"",IFERROR(INDEX(Investment!$A:$A,MATCH($R695,Investment!$H:$H,0))),)</f>
        <v/>
      </c>
      <c r="R695" s="36" t="str">
        <f t="array" ref="R695">IF(AND($Y695="change",$H695="EUR"),IF(AND($AA695="Crédit",$O695=$O696),$R696,IF(AND($AA695="Débit",$O695=$O694),$R694)),IF(OR(AND(OR($E695&lt;&gt;"",$M695=""),$N695&lt;&gt;0),$A695=""),IFERROR(INDEX(Investment!$H:$H,MATCH($E695,Investment!$F:$F,0))),IFERROR(INDEX($R696:$R1119,MATCH(SUBSTITUTE($I695,"-","",1),$K696:$K1119,0)),INDEX($R696:$R1119,MATCH($K695,$K696:$K1119,0)))))</f>
        <v/>
      </c>
      <c r="S695" s="35" t="str">
        <f t="shared" si="2"/>
        <v/>
      </c>
      <c r="T695" s="37" t="str">
        <f t="shared" si="3"/>
        <v/>
      </c>
      <c r="U695" s="38" t="str">
        <f t="shared" si="4"/>
        <v/>
      </c>
      <c r="V695" s="31" t="str">
        <f t="shared" si="5"/>
        <v/>
      </c>
      <c r="W695" s="39" t="str">
        <f>IFERROR(__xludf.DUMMYFUNCTION(" IF(Account!$F695&lt;&gt;"""", SPLIT(Account!$F695, "" ""), """")"),"")</f>
        <v/>
      </c>
      <c r="X695" s="40"/>
      <c r="Y695" s="40"/>
      <c r="Z695" s="40"/>
      <c r="AA695" s="40"/>
      <c r="AB695" s="40"/>
      <c r="AC695" s="40"/>
      <c r="AD695" s="40"/>
      <c r="AE695" s="40"/>
      <c r="AF695" s="40"/>
      <c r="AG695" s="40"/>
      <c r="AH695" s="40"/>
      <c r="AI695" s="40"/>
      <c r="AJ695" s="40"/>
      <c r="AK695" s="40"/>
    </row>
    <row r="696">
      <c r="A696" s="300"/>
      <c r="B696" s="300"/>
      <c r="C696" s="300"/>
      <c r="D696" s="300"/>
      <c r="E696" s="300"/>
      <c r="F696" s="329"/>
      <c r="G696" s="300"/>
      <c r="H696" s="300"/>
      <c r="I696" s="300"/>
      <c r="J696" s="300"/>
      <c r="K696" s="300"/>
      <c r="L696" s="329"/>
      <c r="M696" s="29" t="str">
        <f t="shared" si="1"/>
        <v/>
      </c>
      <c r="N696" s="31" t="str">
        <f>IFERROR(__xludf.DUMMYFUNCTION("IF(Account!$F696&lt;&gt;"""", VALUE(REGEXREPLACE($I696, ""\,"", ""."")), """")"),"")</f>
        <v/>
      </c>
      <c r="O696" s="33" t="str">
        <f>IF(Account!$F696&lt;&gt;"", DATEVALUE(MID($A696,4,3) &amp; LEFT($A696,3) &amp; RIGHT($A696,4)) + TIMEVALUE($B696), "")</f>
        <v/>
      </c>
      <c r="P696" s="34" t="str">
        <f>IF(Account!$F696&lt;&gt;"", DATEVALUE(MID($C696,4,3) &amp; LEFT($C696,3) &amp; RIGHT($C696,4)), "")</f>
        <v/>
      </c>
      <c r="Q696" s="35" t="str">
        <f t="array" ref="Q696">IF($R696&lt;&gt;"",IFERROR(INDEX(Investment!$A:$A,MATCH($R696,Investment!$H:$H,0))),)</f>
        <v/>
      </c>
      <c r="R696" s="36" t="str">
        <f t="array" ref="R696">IF(AND($Y696="change",$H696="EUR"),IF(AND($AA696="Crédit",$O696=$O697),$R697,IF(AND($AA696="Débit",$O696=$O695),$R695)),IF(OR(AND(OR($E696&lt;&gt;"",$M696=""),$N696&lt;&gt;0),$A696=""),IFERROR(INDEX(Investment!$H:$H,MATCH($E696,Investment!$F:$F,0))),IFERROR(INDEX($R697:$R1119,MATCH(SUBSTITUTE($I696,"-","",1),$K697:$K1119,0)),INDEX($R697:$R1119,MATCH($K696,$K697:$K1119,0)))))</f>
        <v/>
      </c>
      <c r="S696" s="35" t="str">
        <f t="shared" si="2"/>
        <v/>
      </c>
      <c r="T696" s="37" t="str">
        <f t="shared" si="3"/>
        <v/>
      </c>
      <c r="U696" s="38" t="str">
        <f t="shared" si="4"/>
        <v/>
      </c>
      <c r="V696" s="31" t="str">
        <f t="shared" si="5"/>
        <v/>
      </c>
      <c r="W696" s="39" t="str">
        <f>IFERROR(__xludf.DUMMYFUNCTION(" IF(Account!$F696&lt;&gt;"""", SPLIT(Account!$F696, "" ""), """")"),"")</f>
        <v/>
      </c>
      <c r="X696" s="40"/>
      <c r="Y696" s="40"/>
      <c r="Z696" s="40"/>
      <c r="AA696" s="40"/>
      <c r="AB696" s="40"/>
      <c r="AC696" s="40"/>
      <c r="AD696" s="40"/>
      <c r="AE696" s="40"/>
      <c r="AF696" s="40"/>
      <c r="AG696" s="40"/>
      <c r="AH696" s="40"/>
      <c r="AI696" s="40"/>
      <c r="AJ696" s="40"/>
      <c r="AK696" s="40"/>
    </row>
    <row r="697">
      <c r="A697" s="300"/>
      <c r="B697" s="300"/>
      <c r="C697" s="300"/>
      <c r="D697" s="300"/>
      <c r="E697" s="300"/>
      <c r="F697" s="329"/>
      <c r="G697" s="300"/>
      <c r="H697" s="300"/>
      <c r="I697" s="300"/>
      <c r="J697" s="300"/>
      <c r="K697" s="300"/>
      <c r="L697" s="329"/>
      <c r="M697" s="29" t="str">
        <f t="shared" si="1"/>
        <v/>
      </c>
      <c r="N697" s="31" t="str">
        <f>IFERROR(__xludf.DUMMYFUNCTION("IF(Account!$F697&lt;&gt;"""", VALUE(REGEXREPLACE($I697, ""\,"", ""."")), """")"),"")</f>
        <v/>
      </c>
      <c r="O697" s="33" t="str">
        <f>IF(Account!$F697&lt;&gt;"", DATEVALUE(MID($A697,4,3) &amp; LEFT($A697,3) &amp; RIGHT($A697,4)) + TIMEVALUE($B697), "")</f>
        <v/>
      </c>
      <c r="P697" s="34" t="str">
        <f>IF(Account!$F697&lt;&gt;"", DATEVALUE(MID($C697,4,3) &amp; LEFT($C697,3) &amp; RIGHT($C697,4)), "")</f>
        <v/>
      </c>
      <c r="Q697" s="35" t="str">
        <f t="array" ref="Q697">IF($R697&lt;&gt;"",IFERROR(INDEX(Investment!$A:$A,MATCH($R697,Investment!$H:$H,0))),)</f>
        <v/>
      </c>
      <c r="R697" s="36" t="str">
        <f t="array" ref="R697">IF(AND($Y697="change",$H697="EUR"),IF(AND($AA697="Crédit",$O697=$O698),$R698,IF(AND($AA697="Débit",$O697=$O696),$R696)),IF(OR(AND(OR($E697&lt;&gt;"",$M697=""),$N697&lt;&gt;0),$A697=""),IFERROR(INDEX(Investment!$H:$H,MATCH($E697,Investment!$F:$F,0))),IFERROR(INDEX($R698:$R1119,MATCH(SUBSTITUTE($I697,"-","",1),$K698:$K1119,0)),INDEX($R698:$R1119,MATCH($K697,$K698:$K1119,0)))))</f>
        <v/>
      </c>
      <c r="S697" s="35" t="str">
        <f t="shared" si="2"/>
        <v/>
      </c>
      <c r="T697" s="37" t="str">
        <f t="shared" si="3"/>
        <v/>
      </c>
      <c r="U697" s="38" t="str">
        <f t="shared" si="4"/>
        <v/>
      </c>
      <c r="V697" s="31" t="str">
        <f t="shared" si="5"/>
        <v/>
      </c>
      <c r="W697" s="39" t="str">
        <f>IFERROR(__xludf.DUMMYFUNCTION(" IF(Account!$F697&lt;&gt;"""", SPLIT(Account!$F697, "" ""), """")"),"")</f>
        <v/>
      </c>
      <c r="X697" s="40"/>
      <c r="Y697" s="40"/>
      <c r="Z697" s="40"/>
      <c r="AA697" s="40"/>
      <c r="AB697" s="40"/>
      <c r="AC697" s="40"/>
      <c r="AD697" s="40"/>
      <c r="AE697" s="40"/>
      <c r="AF697" s="40"/>
      <c r="AG697" s="40"/>
      <c r="AH697" s="40"/>
      <c r="AI697" s="40"/>
      <c r="AJ697" s="40"/>
      <c r="AK697" s="40"/>
    </row>
    <row r="698">
      <c r="A698" s="300"/>
      <c r="B698" s="300"/>
      <c r="C698" s="300"/>
      <c r="D698" s="300"/>
      <c r="E698" s="300"/>
      <c r="F698" s="329"/>
      <c r="G698" s="300"/>
      <c r="H698" s="300"/>
      <c r="I698" s="300"/>
      <c r="J698" s="300"/>
      <c r="K698" s="300"/>
      <c r="L698" s="329"/>
      <c r="M698" s="29" t="str">
        <f t="shared" si="1"/>
        <v/>
      </c>
      <c r="N698" s="31" t="str">
        <f>IFERROR(__xludf.DUMMYFUNCTION("IF(Account!$F698&lt;&gt;"""", VALUE(REGEXREPLACE($I698, ""\,"", ""."")), """")"),"")</f>
        <v/>
      </c>
      <c r="O698" s="33" t="str">
        <f>IF(Account!$F698&lt;&gt;"", DATEVALUE(MID($A698,4,3) &amp; LEFT($A698,3) &amp; RIGHT($A698,4)) + TIMEVALUE($B698), "")</f>
        <v/>
      </c>
      <c r="P698" s="34" t="str">
        <f>IF(Account!$F698&lt;&gt;"", DATEVALUE(MID($C698,4,3) &amp; LEFT($C698,3) &amp; RIGHT($C698,4)), "")</f>
        <v/>
      </c>
      <c r="Q698" s="35" t="str">
        <f t="array" ref="Q698">IF($R698&lt;&gt;"",IFERROR(INDEX(Investment!$A:$A,MATCH($R698,Investment!$H:$H,0))),)</f>
        <v/>
      </c>
      <c r="R698" s="36" t="str">
        <f t="array" ref="R698">IF(AND($Y698="change",$H698="EUR"),IF(AND($AA698="Crédit",$O698=$O699),$R699,IF(AND($AA698="Débit",$O698=$O697),$R697)),IF(OR(AND(OR($E698&lt;&gt;"",$M698=""),$N698&lt;&gt;0),$A698=""),IFERROR(INDEX(Investment!$H:$H,MATCH($E698,Investment!$F:$F,0))),IFERROR(INDEX($R699:$R1119,MATCH(SUBSTITUTE($I698,"-","",1),$K699:$K1119,0)),INDEX($R699:$R1119,MATCH($K698,$K699:$K1119,0)))))</f>
        <v/>
      </c>
      <c r="S698" s="35" t="str">
        <f t="shared" si="2"/>
        <v/>
      </c>
      <c r="T698" s="37" t="str">
        <f t="shared" si="3"/>
        <v/>
      </c>
      <c r="U698" s="38" t="str">
        <f t="shared" si="4"/>
        <v/>
      </c>
      <c r="V698" s="31" t="str">
        <f t="shared" si="5"/>
        <v/>
      </c>
      <c r="W698" s="39" t="str">
        <f>IFERROR(__xludf.DUMMYFUNCTION(" IF(Account!$F698&lt;&gt;"""", SPLIT(Account!$F698, "" ""), """")"),"")</f>
        <v/>
      </c>
      <c r="X698" s="40"/>
      <c r="Y698" s="40"/>
      <c r="Z698" s="40"/>
      <c r="AA698" s="40"/>
      <c r="AB698" s="40"/>
      <c r="AC698" s="40"/>
      <c r="AD698" s="40"/>
      <c r="AE698" s="40"/>
      <c r="AF698" s="40"/>
      <c r="AG698" s="40"/>
      <c r="AH698" s="40"/>
      <c r="AI698" s="40"/>
      <c r="AJ698" s="40"/>
      <c r="AK698" s="40"/>
    </row>
    <row r="699">
      <c r="A699" s="300"/>
      <c r="B699" s="300"/>
      <c r="C699" s="300"/>
      <c r="D699" s="300"/>
      <c r="E699" s="300"/>
      <c r="F699" s="329"/>
      <c r="G699" s="300"/>
      <c r="H699" s="300"/>
      <c r="I699" s="300"/>
      <c r="J699" s="300"/>
      <c r="K699" s="300"/>
      <c r="L699" s="329"/>
      <c r="M699" s="29" t="str">
        <f t="shared" si="1"/>
        <v/>
      </c>
      <c r="N699" s="31" t="str">
        <f>IFERROR(__xludf.DUMMYFUNCTION("IF(Account!$F699&lt;&gt;"""", VALUE(REGEXREPLACE($I699, ""\,"", ""."")), """")"),"")</f>
        <v/>
      </c>
      <c r="O699" s="33" t="str">
        <f>IF(Account!$F699&lt;&gt;"", DATEVALUE(MID($A699,4,3) &amp; LEFT($A699,3) &amp; RIGHT($A699,4)) + TIMEVALUE($B699), "")</f>
        <v/>
      </c>
      <c r="P699" s="34" t="str">
        <f>IF(Account!$F699&lt;&gt;"", DATEVALUE(MID($C699,4,3) &amp; LEFT($C699,3) &amp; RIGHT($C699,4)), "")</f>
        <v/>
      </c>
      <c r="Q699" s="35" t="str">
        <f t="array" ref="Q699">IF($R699&lt;&gt;"",IFERROR(INDEX(Investment!$A:$A,MATCH($R699,Investment!$H:$H,0))),)</f>
        <v/>
      </c>
      <c r="R699" s="36" t="str">
        <f t="array" ref="R699">IF(AND($Y699="change",$H699="EUR"),IF(AND($AA699="Crédit",$O699=$O700),$R700,IF(AND($AA699="Débit",$O699=$O698),$R698)),IF(OR(AND(OR($E699&lt;&gt;"",$M699=""),$N699&lt;&gt;0),$A699=""),IFERROR(INDEX(Investment!$H:$H,MATCH($E699,Investment!$F:$F,0))),IFERROR(INDEX($R700:$R1119,MATCH(SUBSTITUTE($I699,"-","",1),$K700:$K1119,0)),INDEX($R700:$R1119,MATCH($K699,$K700:$K1119,0)))))</f>
        <v/>
      </c>
      <c r="S699" s="35" t="str">
        <f t="shared" si="2"/>
        <v/>
      </c>
      <c r="T699" s="37" t="str">
        <f t="shared" si="3"/>
        <v/>
      </c>
      <c r="U699" s="38" t="str">
        <f t="shared" si="4"/>
        <v/>
      </c>
      <c r="V699" s="31" t="str">
        <f t="shared" si="5"/>
        <v/>
      </c>
      <c r="W699" s="39" t="str">
        <f>IFERROR(__xludf.DUMMYFUNCTION(" IF(Account!$F699&lt;&gt;"""", SPLIT(Account!$F699, "" ""), """")"),"")</f>
        <v/>
      </c>
      <c r="X699" s="40"/>
      <c r="Y699" s="40"/>
      <c r="Z699" s="40"/>
      <c r="AA699" s="40"/>
      <c r="AB699" s="40"/>
      <c r="AC699" s="40"/>
      <c r="AD699" s="40"/>
      <c r="AE699" s="40"/>
      <c r="AF699" s="40"/>
      <c r="AG699" s="40"/>
      <c r="AH699" s="40"/>
      <c r="AI699" s="40"/>
      <c r="AJ699" s="40"/>
      <c r="AK699" s="40"/>
    </row>
    <row r="700">
      <c r="A700" s="300"/>
      <c r="B700" s="300"/>
      <c r="C700" s="300"/>
      <c r="D700" s="300"/>
      <c r="E700" s="300"/>
      <c r="F700" s="329"/>
      <c r="G700" s="300"/>
      <c r="H700" s="300"/>
      <c r="I700" s="300"/>
      <c r="J700" s="300"/>
      <c r="K700" s="300"/>
      <c r="L700" s="329"/>
      <c r="M700" s="29" t="str">
        <f t="shared" si="1"/>
        <v/>
      </c>
      <c r="N700" s="31" t="str">
        <f>IFERROR(__xludf.DUMMYFUNCTION("IF(Account!$F700&lt;&gt;"""", VALUE(REGEXREPLACE($I700, ""\,"", ""."")), """")"),"")</f>
        <v/>
      </c>
      <c r="O700" s="33" t="str">
        <f>IF(Account!$F700&lt;&gt;"", DATEVALUE(MID($A700,4,3) &amp; LEFT($A700,3) &amp; RIGHT($A700,4)) + TIMEVALUE($B700), "")</f>
        <v/>
      </c>
      <c r="P700" s="34" t="str">
        <f>IF(Account!$F700&lt;&gt;"", DATEVALUE(MID($C700,4,3) &amp; LEFT($C700,3) &amp; RIGHT($C700,4)), "")</f>
        <v/>
      </c>
      <c r="Q700" s="35" t="str">
        <f t="array" ref="Q700">IF($R700&lt;&gt;"",IFERROR(INDEX(Investment!$A:$A,MATCH($R700,Investment!$H:$H,0))),)</f>
        <v/>
      </c>
      <c r="R700" s="36" t="str">
        <f t="array" ref="R700">IF(AND($Y700="change",$H700="EUR"),IF(AND($AA700="Crédit",$O700=$O701),$R701,IF(AND($AA700="Débit",$O700=$O699),$R699)),IF(OR(AND(OR($E700&lt;&gt;"",$M700=""),$N700&lt;&gt;0),$A700=""),IFERROR(INDEX(Investment!$H:$H,MATCH($E700,Investment!$F:$F,0))),IFERROR(INDEX($R701:$R1119,MATCH(SUBSTITUTE($I700,"-","",1),$K701:$K1119,0)),INDEX($R701:$R1119,MATCH($K700,$K701:$K1119,0)))))</f>
        <v/>
      </c>
      <c r="S700" s="35" t="str">
        <f t="shared" si="2"/>
        <v/>
      </c>
      <c r="T700" s="37" t="str">
        <f t="shared" si="3"/>
        <v/>
      </c>
      <c r="U700" s="38" t="str">
        <f t="shared" si="4"/>
        <v/>
      </c>
      <c r="V700" s="31" t="str">
        <f t="shared" si="5"/>
        <v/>
      </c>
      <c r="W700" s="39" t="str">
        <f>IFERROR(__xludf.DUMMYFUNCTION(" IF(Account!$F700&lt;&gt;"""", SPLIT(Account!$F700, "" ""), """")"),"")</f>
        <v/>
      </c>
      <c r="X700" s="40"/>
      <c r="Y700" s="40"/>
      <c r="Z700" s="40"/>
      <c r="AA700" s="40"/>
      <c r="AB700" s="40"/>
      <c r="AC700" s="40"/>
      <c r="AD700" s="40"/>
      <c r="AE700" s="40"/>
      <c r="AF700" s="40"/>
      <c r="AG700" s="40"/>
      <c r="AH700" s="40"/>
      <c r="AI700" s="40"/>
      <c r="AJ700" s="40"/>
      <c r="AK700" s="40"/>
    </row>
    <row r="701">
      <c r="A701" s="300"/>
      <c r="B701" s="300"/>
      <c r="C701" s="300"/>
      <c r="D701" s="300"/>
      <c r="E701" s="300"/>
      <c r="F701" s="329"/>
      <c r="G701" s="300"/>
      <c r="H701" s="300"/>
      <c r="I701" s="300"/>
      <c r="J701" s="300"/>
      <c r="K701" s="300"/>
      <c r="L701" s="329"/>
      <c r="M701" s="29" t="str">
        <f t="shared" si="1"/>
        <v/>
      </c>
      <c r="N701" s="31" t="str">
        <f>IFERROR(__xludf.DUMMYFUNCTION("IF(Account!$F701&lt;&gt;"""", VALUE(REGEXREPLACE($I701, ""\,"", ""."")), """")"),"")</f>
        <v/>
      </c>
      <c r="O701" s="33" t="str">
        <f>IF(Account!$F701&lt;&gt;"", DATEVALUE(MID($A701,4,3) &amp; LEFT($A701,3) &amp; RIGHT($A701,4)) + TIMEVALUE($B701), "")</f>
        <v/>
      </c>
      <c r="P701" s="34" t="str">
        <f>IF(Account!$F701&lt;&gt;"", DATEVALUE(MID($C701,4,3) &amp; LEFT($C701,3) &amp; RIGHT($C701,4)), "")</f>
        <v/>
      </c>
      <c r="Q701" s="35" t="str">
        <f t="array" ref="Q701">IF($R701&lt;&gt;"",IFERROR(INDEX(Investment!$A:$A,MATCH($R701,Investment!$H:$H,0))),)</f>
        <v/>
      </c>
      <c r="R701" s="36" t="str">
        <f t="array" ref="R701">IF(AND($Y701="change",$H701="EUR"),IF(AND($AA701="Crédit",$O701=$O702),$R702,IF(AND($AA701="Débit",$O701=$O700),$R700)),IF(OR(AND(OR($E701&lt;&gt;"",$M701=""),$N701&lt;&gt;0),$A701=""),IFERROR(INDEX(Investment!$H:$H,MATCH($E701,Investment!$F:$F,0))),IFERROR(INDEX($R702:$R1119,MATCH(SUBSTITUTE($I701,"-","",1),$K702:$K1119,0)),INDEX($R702:$R1119,MATCH($K701,$K702:$K1119,0)))))</f>
        <v/>
      </c>
      <c r="S701" s="35" t="str">
        <f t="shared" si="2"/>
        <v/>
      </c>
      <c r="T701" s="37" t="str">
        <f t="shared" si="3"/>
        <v/>
      </c>
      <c r="U701" s="38" t="str">
        <f t="shared" si="4"/>
        <v/>
      </c>
      <c r="V701" s="31" t="str">
        <f t="shared" si="5"/>
        <v/>
      </c>
      <c r="W701" s="39" t="str">
        <f>IFERROR(__xludf.DUMMYFUNCTION(" IF(Account!$F701&lt;&gt;"""", SPLIT(Account!$F701, "" ""), """")"),"")</f>
        <v/>
      </c>
      <c r="X701" s="40"/>
      <c r="Y701" s="40"/>
      <c r="Z701" s="40"/>
      <c r="AA701" s="40"/>
      <c r="AB701" s="40"/>
      <c r="AC701" s="40"/>
      <c r="AD701" s="40"/>
      <c r="AE701" s="40"/>
      <c r="AF701" s="40"/>
      <c r="AG701" s="40"/>
      <c r="AH701" s="40"/>
      <c r="AI701" s="40"/>
      <c r="AJ701" s="40"/>
      <c r="AK701" s="40"/>
    </row>
    <row r="702">
      <c r="A702" s="300"/>
      <c r="B702" s="300"/>
      <c r="C702" s="300"/>
      <c r="D702" s="300"/>
      <c r="E702" s="300"/>
      <c r="F702" s="329"/>
      <c r="G702" s="300"/>
      <c r="H702" s="300"/>
      <c r="I702" s="300"/>
      <c r="J702" s="300"/>
      <c r="K702" s="300"/>
      <c r="L702" s="329"/>
      <c r="M702" s="29" t="str">
        <f t="shared" si="1"/>
        <v/>
      </c>
      <c r="N702" s="31" t="str">
        <f>IFERROR(__xludf.DUMMYFUNCTION("IF(Account!$F702&lt;&gt;"""", VALUE(REGEXREPLACE($I702, ""\,"", ""."")), """")"),"")</f>
        <v/>
      </c>
      <c r="O702" s="33" t="str">
        <f>IF(Account!$F702&lt;&gt;"", DATEVALUE(MID($A702,4,3) &amp; LEFT($A702,3) &amp; RIGHT($A702,4)) + TIMEVALUE($B702), "")</f>
        <v/>
      </c>
      <c r="P702" s="34" t="str">
        <f>IF(Account!$F702&lt;&gt;"", DATEVALUE(MID($C702,4,3) &amp; LEFT($C702,3) &amp; RIGHT($C702,4)), "")</f>
        <v/>
      </c>
      <c r="Q702" s="35" t="str">
        <f t="array" ref="Q702">IF($R702&lt;&gt;"",IFERROR(INDEX(Investment!$A:$A,MATCH($R702,Investment!$H:$H,0))),)</f>
        <v/>
      </c>
      <c r="R702" s="36" t="str">
        <f t="array" ref="R702">IF(AND($Y702="change",$H702="EUR"),IF(AND($AA702="Crédit",$O702=$O703),$R703,IF(AND($AA702="Débit",$O702=$O701),$R701)),IF(OR(AND(OR($E702&lt;&gt;"",$M702=""),$N702&lt;&gt;0),$A702=""),IFERROR(INDEX(Investment!$H:$H,MATCH($E702,Investment!$F:$F,0))),IFERROR(INDEX($R703:$R1119,MATCH(SUBSTITUTE($I702,"-","",1),$K703:$K1119,0)),INDEX($R703:$R1119,MATCH($K702,$K703:$K1119,0)))))</f>
        <v/>
      </c>
      <c r="S702" s="35" t="str">
        <f t="shared" si="2"/>
        <v/>
      </c>
      <c r="T702" s="37" t="str">
        <f t="shared" si="3"/>
        <v/>
      </c>
      <c r="U702" s="38" t="str">
        <f t="shared" si="4"/>
        <v/>
      </c>
      <c r="V702" s="31" t="str">
        <f t="shared" si="5"/>
        <v/>
      </c>
      <c r="W702" s="39" t="str">
        <f>IFERROR(__xludf.DUMMYFUNCTION(" IF(Account!$F702&lt;&gt;"""", SPLIT(Account!$F702, "" ""), """")"),"")</f>
        <v/>
      </c>
      <c r="X702" s="40"/>
      <c r="Y702" s="40"/>
      <c r="Z702" s="40"/>
      <c r="AA702" s="40"/>
      <c r="AB702" s="40"/>
      <c r="AC702" s="40"/>
      <c r="AD702" s="40"/>
      <c r="AE702" s="40"/>
      <c r="AF702" s="40"/>
      <c r="AG702" s="40"/>
      <c r="AH702" s="40"/>
      <c r="AI702" s="40"/>
      <c r="AJ702" s="40"/>
      <c r="AK702" s="40"/>
    </row>
    <row r="703">
      <c r="A703" s="300"/>
      <c r="B703" s="300"/>
      <c r="C703" s="300"/>
      <c r="D703" s="300"/>
      <c r="E703" s="300"/>
      <c r="F703" s="329"/>
      <c r="G703" s="300"/>
      <c r="H703" s="300"/>
      <c r="I703" s="300"/>
      <c r="J703" s="300"/>
      <c r="K703" s="300"/>
      <c r="L703" s="329"/>
      <c r="M703" s="29" t="str">
        <f t="shared" si="1"/>
        <v/>
      </c>
      <c r="N703" s="31" t="str">
        <f>IFERROR(__xludf.DUMMYFUNCTION("IF(Account!$F703&lt;&gt;"""", VALUE(REGEXREPLACE($I703, ""\,"", ""."")), """")"),"")</f>
        <v/>
      </c>
      <c r="O703" s="33" t="str">
        <f>IF(Account!$F703&lt;&gt;"", DATEVALUE(MID($A703,4,3) &amp; LEFT($A703,3) &amp; RIGHT($A703,4)) + TIMEVALUE($B703), "")</f>
        <v/>
      </c>
      <c r="P703" s="34" t="str">
        <f>IF(Account!$F703&lt;&gt;"", DATEVALUE(MID($C703,4,3) &amp; LEFT($C703,3) &amp; RIGHT($C703,4)), "")</f>
        <v/>
      </c>
      <c r="Q703" s="35" t="str">
        <f t="array" ref="Q703">IF($R703&lt;&gt;"",IFERROR(INDEX(Investment!$A:$A,MATCH($R703,Investment!$H:$H,0))),)</f>
        <v/>
      </c>
      <c r="R703" s="36" t="str">
        <f t="array" ref="R703">IF(AND($Y703="change",$H703="EUR"),IF(AND($AA703="Crédit",$O703=$O704),$R704,IF(AND($AA703="Débit",$O703=$O702),$R702)),IF(OR(AND(OR($E703&lt;&gt;"",$M703=""),$N703&lt;&gt;0),$A703=""),IFERROR(INDEX(Investment!$H:$H,MATCH($E703,Investment!$F:$F,0))),IFERROR(INDEX($R704:$R1119,MATCH(SUBSTITUTE($I703,"-","",1),$K704:$K1119,0)),INDEX($R704:$R1119,MATCH($K703,$K704:$K1119,0)))))</f>
        <v/>
      </c>
      <c r="S703" s="35" t="str">
        <f t="shared" si="2"/>
        <v/>
      </c>
      <c r="T703" s="37" t="str">
        <f t="shared" si="3"/>
        <v/>
      </c>
      <c r="U703" s="38" t="str">
        <f t="shared" si="4"/>
        <v/>
      </c>
      <c r="V703" s="31" t="str">
        <f t="shared" si="5"/>
        <v/>
      </c>
      <c r="W703" s="39" t="str">
        <f>IFERROR(__xludf.DUMMYFUNCTION(" IF(Account!$F703&lt;&gt;"""", SPLIT(Account!$F703, "" ""), """")"),"")</f>
        <v/>
      </c>
      <c r="X703" s="40"/>
      <c r="Y703" s="40"/>
      <c r="Z703" s="40"/>
      <c r="AA703" s="40"/>
      <c r="AB703" s="40"/>
      <c r="AC703" s="40"/>
      <c r="AD703" s="40"/>
      <c r="AE703" s="40"/>
      <c r="AF703" s="40"/>
      <c r="AG703" s="40"/>
      <c r="AH703" s="40"/>
      <c r="AI703" s="40"/>
      <c r="AJ703" s="40"/>
      <c r="AK703" s="40"/>
    </row>
    <row r="704">
      <c r="A704" s="300"/>
      <c r="B704" s="300"/>
      <c r="C704" s="300"/>
      <c r="D704" s="300"/>
      <c r="E704" s="300"/>
      <c r="F704" s="329"/>
      <c r="G704" s="300"/>
      <c r="H704" s="300"/>
      <c r="I704" s="300"/>
      <c r="J704" s="300"/>
      <c r="K704" s="300"/>
      <c r="L704" s="329"/>
      <c r="M704" s="29" t="str">
        <f t="shared" si="1"/>
        <v/>
      </c>
      <c r="N704" s="31" t="str">
        <f>IFERROR(__xludf.DUMMYFUNCTION("IF(Account!$F704&lt;&gt;"""", VALUE(REGEXREPLACE($I704, ""\,"", ""."")), """")"),"")</f>
        <v/>
      </c>
      <c r="O704" s="33" t="str">
        <f>IF(Account!$F704&lt;&gt;"", DATEVALUE(MID($A704,4,3) &amp; LEFT($A704,3) &amp; RIGHT($A704,4)) + TIMEVALUE($B704), "")</f>
        <v/>
      </c>
      <c r="P704" s="34" t="str">
        <f>IF(Account!$F704&lt;&gt;"", DATEVALUE(MID($C704,4,3) &amp; LEFT($C704,3) &amp; RIGHT($C704,4)), "")</f>
        <v/>
      </c>
      <c r="Q704" s="35" t="str">
        <f t="array" ref="Q704">IF($R704&lt;&gt;"",IFERROR(INDEX(Investment!$A:$A,MATCH($R704,Investment!$H:$H,0))),)</f>
        <v/>
      </c>
      <c r="R704" s="36" t="str">
        <f t="array" ref="R704">IF(AND($Y704="change",$H704="EUR"),IF(AND($AA704="Crédit",$O704=$O705),$R705,IF(AND($AA704="Débit",$O704=$O703),$R703)),IF(OR(AND(OR($E704&lt;&gt;"",$M704=""),$N704&lt;&gt;0),$A704=""),IFERROR(INDEX(Investment!$H:$H,MATCH($E704,Investment!$F:$F,0))),IFERROR(INDEX($R705:$R1119,MATCH(SUBSTITUTE($I704,"-","",1),$K705:$K1119,0)),INDEX($R705:$R1119,MATCH($K704,$K705:$K1119,0)))))</f>
        <v/>
      </c>
      <c r="S704" s="35" t="str">
        <f t="shared" si="2"/>
        <v/>
      </c>
      <c r="T704" s="37" t="str">
        <f t="shared" si="3"/>
        <v/>
      </c>
      <c r="U704" s="38" t="str">
        <f t="shared" si="4"/>
        <v/>
      </c>
      <c r="V704" s="31" t="str">
        <f t="shared" si="5"/>
        <v/>
      </c>
      <c r="W704" s="39" t="str">
        <f>IFERROR(__xludf.DUMMYFUNCTION(" IF(Account!$F704&lt;&gt;"""", SPLIT(Account!$F704, "" ""), """")"),"")</f>
        <v/>
      </c>
      <c r="X704" s="40"/>
      <c r="Y704" s="40"/>
      <c r="Z704" s="40"/>
      <c r="AA704" s="40"/>
      <c r="AB704" s="40"/>
      <c r="AC704" s="40"/>
      <c r="AD704" s="40"/>
      <c r="AE704" s="40"/>
      <c r="AF704" s="40"/>
      <c r="AG704" s="40"/>
      <c r="AH704" s="40"/>
      <c r="AI704" s="40"/>
      <c r="AJ704" s="40"/>
      <c r="AK704" s="40"/>
    </row>
    <row r="705">
      <c r="A705" s="300"/>
      <c r="B705" s="300"/>
      <c r="C705" s="300"/>
      <c r="D705" s="300"/>
      <c r="E705" s="300"/>
      <c r="F705" s="329"/>
      <c r="G705" s="300"/>
      <c r="H705" s="300"/>
      <c r="I705" s="300"/>
      <c r="J705" s="300"/>
      <c r="K705" s="300"/>
      <c r="L705" s="329"/>
      <c r="M705" s="29" t="str">
        <f t="shared" si="1"/>
        <v/>
      </c>
      <c r="N705" s="31" t="str">
        <f>IFERROR(__xludf.DUMMYFUNCTION("IF(Account!$F705&lt;&gt;"""", VALUE(REGEXREPLACE($I705, ""\,"", ""."")), """")"),"")</f>
        <v/>
      </c>
      <c r="O705" s="33" t="str">
        <f>IF(Account!$F705&lt;&gt;"", DATEVALUE(MID($A705,4,3) &amp; LEFT($A705,3) &amp; RIGHT($A705,4)) + TIMEVALUE($B705), "")</f>
        <v/>
      </c>
      <c r="P705" s="34" t="str">
        <f>IF(Account!$F705&lt;&gt;"", DATEVALUE(MID($C705,4,3) &amp; LEFT($C705,3) &amp; RIGHT($C705,4)), "")</f>
        <v/>
      </c>
      <c r="Q705" s="35" t="str">
        <f t="array" ref="Q705">IF($R705&lt;&gt;"",IFERROR(INDEX(Investment!$A:$A,MATCH($R705,Investment!$H:$H,0))),)</f>
        <v/>
      </c>
      <c r="R705" s="36" t="str">
        <f t="array" ref="R705">IF(AND($Y705="change",$H705="EUR"),IF(AND($AA705="Crédit",$O705=$O706),$R706,IF(AND($AA705="Débit",$O705=$O704),$R704)),IF(OR(AND(OR($E705&lt;&gt;"",$M705=""),$N705&lt;&gt;0),$A705=""),IFERROR(INDEX(Investment!$H:$H,MATCH($E705,Investment!$F:$F,0))),IFERROR(INDEX($R706:$R1119,MATCH(SUBSTITUTE($I705,"-","",1),$K706:$K1119,0)),INDEX($R706:$R1119,MATCH($K705,$K706:$K1119,0)))))</f>
        <v/>
      </c>
      <c r="S705" s="35" t="str">
        <f t="shared" si="2"/>
        <v/>
      </c>
      <c r="T705" s="37" t="str">
        <f t="shared" si="3"/>
        <v/>
      </c>
      <c r="U705" s="38" t="str">
        <f t="shared" si="4"/>
        <v/>
      </c>
      <c r="V705" s="31" t="str">
        <f t="shared" si="5"/>
        <v/>
      </c>
      <c r="W705" s="39" t="str">
        <f>IFERROR(__xludf.DUMMYFUNCTION(" IF(Account!$F705&lt;&gt;"""", SPLIT(Account!$F705, "" ""), """")"),"")</f>
        <v/>
      </c>
      <c r="X705" s="40"/>
      <c r="Y705" s="40"/>
      <c r="Z705" s="40"/>
      <c r="AA705" s="40"/>
      <c r="AB705" s="40"/>
      <c r="AC705" s="40"/>
      <c r="AD705" s="40"/>
      <c r="AE705" s="40"/>
      <c r="AF705" s="40"/>
      <c r="AG705" s="40"/>
      <c r="AH705" s="40"/>
      <c r="AI705" s="40"/>
      <c r="AJ705" s="40"/>
      <c r="AK705" s="40"/>
    </row>
    <row r="706">
      <c r="A706" s="300"/>
      <c r="B706" s="300"/>
      <c r="C706" s="300"/>
      <c r="D706" s="300"/>
      <c r="E706" s="300"/>
      <c r="F706" s="329"/>
      <c r="G706" s="300"/>
      <c r="H706" s="300"/>
      <c r="I706" s="300"/>
      <c r="J706" s="300"/>
      <c r="K706" s="300"/>
      <c r="L706" s="329"/>
      <c r="M706" s="29" t="str">
        <f t="shared" si="1"/>
        <v/>
      </c>
      <c r="N706" s="31" t="str">
        <f>IFERROR(__xludf.DUMMYFUNCTION("IF(Account!$F706&lt;&gt;"""", VALUE(REGEXREPLACE($I706, ""\,"", ""."")), """")"),"")</f>
        <v/>
      </c>
      <c r="O706" s="33" t="str">
        <f>IF(Account!$F706&lt;&gt;"", DATEVALUE(MID($A706,4,3) &amp; LEFT($A706,3) &amp; RIGHT($A706,4)) + TIMEVALUE($B706), "")</f>
        <v/>
      </c>
      <c r="P706" s="34" t="str">
        <f>IF(Account!$F706&lt;&gt;"", DATEVALUE(MID($C706,4,3) &amp; LEFT($C706,3) &amp; RIGHT($C706,4)), "")</f>
        <v/>
      </c>
      <c r="Q706" s="35" t="str">
        <f t="array" ref="Q706">IF($R706&lt;&gt;"",IFERROR(INDEX(Investment!$A:$A,MATCH($R706,Investment!$H:$H,0))),)</f>
        <v/>
      </c>
      <c r="R706" s="36" t="str">
        <f t="array" ref="R706">IF(AND($Y706="change",$H706="EUR"),IF(AND($AA706="Crédit",$O706=$O707),$R707,IF(AND($AA706="Débit",$O706=$O705),$R705)),IF(OR(AND(OR($E706&lt;&gt;"",$M706=""),$N706&lt;&gt;0),$A706=""),IFERROR(INDEX(Investment!$H:$H,MATCH($E706,Investment!$F:$F,0))),IFERROR(INDEX($R707:$R1119,MATCH(SUBSTITUTE($I706,"-","",1),$K707:$K1119,0)),INDEX($R707:$R1119,MATCH($K706,$K707:$K1119,0)))))</f>
        <v/>
      </c>
      <c r="S706" s="35" t="str">
        <f t="shared" si="2"/>
        <v/>
      </c>
      <c r="T706" s="37" t="str">
        <f t="shared" si="3"/>
        <v/>
      </c>
      <c r="U706" s="38" t="str">
        <f t="shared" si="4"/>
        <v/>
      </c>
      <c r="V706" s="31" t="str">
        <f t="shared" si="5"/>
        <v/>
      </c>
      <c r="W706" s="39" t="str">
        <f>IFERROR(__xludf.DUMMYFUNCTION(" IF(Account!$F706&lt;&gt;"""", SPLIT(Account!$F706, "" ""), """")"),"")</f>
        <v/>
      </c>
      <c r="X706" s="40"/>
      <c r="Y706" s="40"/>
      <c r="Z706" s="40"/>
      <c r="AA706" s="40"/>
      <c r="AB706" s="40"/>
      <c r="AC706" s="40"/>
      <c r="AD706" s="40"/>
      <c r="AE706" s="40"/>
      <c r="AF706" s="40"/>
      <c r="AG706" s="40"/>
      <c r="AH706" s="40"/>
      <c r="AI706" s="40"/>
      <c r="AJ706" s="40"/>
      <c r="AK706" s="40"/>
    </row>
    <row r="707">
      <c r="A707" s="300"/>
      <c r="B707" s="300"/>
      <c r="C707" s="300"/>
      <c r="D707" s="300"/>
      <c r="E707" s="300"/>
      <c r="F707" s="329"/>
      <c r="G707" s="300"/>
      <c r="H707" s="300"/>
      <c r="I707" s="300"/>
      <c r="J707" s="300"/>
      <c r="K707" s="300"/>
      <c r="L707" s="329"/>
      <c r="M707" s="29" t="str">
        <f t="shared" si="1"/>
        <v/>
      </c>
      <c r="N707" s="31" t="str">
        <f>IFERROR(__xludf.DUMMYFUNCTION("IF(Account!$F707&lt;&gt;"""", VALUE(REGEXREPLACE($I707, ""\,"", ""."")), """")"),"")</f>
        <v/>
      </c>
      <c r="O707" s="33" t="str">
        <f>IF(Account!$F707&lt;&gt;"", DATEVALUE(MID($A707,4,3) &amp; LEFT($A707,3) &amp; RIGHT($A707,4)) + TIMEVALUE($B707), "")</f>
        <v/>
      </c>
      <c r="P707" s="34" t="str">
        <f>IF(Account!$F707&lt;&gt;"", DATEVALUE(MID($C707,4,3) &amp; LEFT($C707,3) &amp; RIGHT($C707,4)), "")</f>
        <v/>
      </c>
      <c r="Q707" s="35" t="str">
        <f t="array" ref="Q707">IF($R707&lt;&gt;"",IFERROR(INDEX(Investment!$A:$A,MATCH($R707,Investment!$H:$H,0))),)</f>
        <v/>
      </c>
      <c r="R707" s="36" t="str">
        <f t="array" ref="R707">IF(AND($Y707="change",$H707="EUR"),IF(AND($AA707="Crédit",$O707=$O708),$R708,IF(AND($AA707="Débit",$O707=$O706),$R706)),IF(OR(AND(OR($E707&lt;&gt;"",$M707=""),$N707&lt;&gt;0),$A707=""),IFERROR(INDEX(Investment!$H:$H,MATCH($E707,Investment!$F:$F,0))),IFERROR(INDEX($R708:$R1119,MATCH(SUBSTITUTE($I707,"-","",1),$K708:$K1119,0)),INDEX($R708:$R1119,MATCH($K707,$K708:$K1119,0)))))</f>
        <v/>
      </c>
      <c r="S707" s="35" t="str">
        <f t="shared" si="2"/>
        <v/>
      </c>
      <c r="T707" s="37" t="str">
        <f t="shared" si="3"/>
        <v/>
      </c>
      <c r="U707" s="38" t="str">
        <f t="shared" si="4"/>
        <v/>
      </c>
      <c r="V707" s="31" t="str">
        <f t="shared" si="5"/>
        <v/>
      </c>
      <c r="W707" s="39" t="str">
        <f>IFERROR(__xludf.DUMMYFUNCTION(" IF(Account!$F707&lt;&gt;"""", SPLIT(Account!$F707, "" ""), """")"),"")</f>
        <v/>
      </c>
      <c r="X707" s="40"/>
      <c r="Y707" s="40"/>
      <c r="Z707" s="40"/>
      <c r="AA707" s="40"/>
      <c r="AB707" s="40"/>
      <c r="AC707" s="40"/>
      <c r="AD707" s="40"/>
      <c r="AE707" s="40"/>
      <c r="AF707" s="40"/>
      <c r="AG707" s="40"/>
      <c r="AH707" s="40"/>
      <c r="AI707" s="40"/>
      <c r="AJ707" s="40"/>
      <c r="AK707" s="40"/>
    </row>
    <row r="708">
      <c r="A708" s="300"/>
      <c r="B708" s="300"/>
      <c r="C708" s="300"/>
      <c r="D708" s="300"/>
      <c r="E708" s="300"/>
      <c r="F708" s="329"/>
      <c r="G708" s="300"/>
      <c r="H708" s="300"/>
      <c r="I708" s="300"/>
      <c r="J708" s="300"/>
      <c r="K708" s="300"/>
      <c r="L708" s="329"/>
      <c r="M708" s="29" t="str">
        <f t="shared" si="1"/>
        <v/>
      </c>
      <c r="N708" s="31" t="str">
        <f>IFERROR(__xludf.DUMMYFUNCTION("IF(Account!$F708&lt;&gt;"""", VALUE(REGEXREPLACE($I708, ""\,"", ""."")), """")"),"")</f>
        <v/>
      </c>
      <c r="O708" s="33" t="str">
        <f>IF(Account!$F708&lt;&gt;"", DATEVALUE(MID($A708,4,3) &amp; LEFT($A708,3) &amp; RIGHT($A708,4)) + TIMEVALUE($B708), "")</f>
        <v/>
      </c>
      <c r="P708" s="34" t="str">
        <f>IF(Account!$F708&lt;&gt;"", DATEVALUE(MID($C708,4,3) &amp; LEFT($C708,3) &amp; RIGHT($C708,4)), "")</f>
        <v/>
      </c>
      <c r="Q708" s="35" t="str">
        <f t="array" ref="Q708">IF($R708&lt;&gt;"",IFERROR(INDEX(Investment!$A:$A,MATCH($R708,Investment!$H:$H,0))),)</f>
        <v/>
      </c>
      <c r="R708" s="36" t="str">
        <f t="array" ref="R708">IF(AND($Y708="change",$H708="EUR"),IF(AND($AA708="Crédit",$O708=$O709),$R709,IF(AND($AA708="Débit",$O708=$O707),$R707)),IF(OR(AND(OR($E708&lt;&gt;"",$M708=""),$N708&lt;&gt;0),$A708=""),IFERROR(INDEX(Investment!$H:$H,MATCH($E708,Investment!$F:$F,0))),IFERROR(INDEX($R709:$R1119,MATCH(SUBSTITUTE($I708,"-","",1),$K709:$K1119,0)),INDEX($R709:$R1119,MATCH($K708,$K709:$K1119,0)))))</f>
        <v/>
      </c>
      <c r="S708" s="35" t="str">
        <f t="shared" si="2"/>
        <v/>
      </c>
      <c r="T708" s="37" t="str">
        <f t="shared" si="3"/>
        <v/>
      </c>
      <c r="U708" s="38" t="str">
        <f t="shared" si="4"/>
        <v/>
      </c>
      <c r="V708" s="31" t="str">
        <f t="shared" si="5"/>
        <v/>
      </c>
      <c r="W708" s="39" t="str">
        <f>IFERROR(__xludf.DUMMYFUNCTION(" IF(Account!$F708&lt;&gt;"""", SPLIT(Account!$F708, "" ""), """")"),"")</f>
        <v/>
      </c>
      <c r="X708" s="40"/>
      <c r="Y708" s="40"/>
      <c r="Z708" s="40"/>
      <c r="AA708" s="40"/>
      <c r="AB708" s="40"/>
      <c r="AC708" s="40"/>
      <c r="AD708" s="40"/>
      <c r="AE708" s="40"/>
      <c r="AF708" s="40"/>
      <c r="AG708" s="40"/>
      <c r="AH708" s="40"/>
      <c r="AI708" s="40"/>
      <c r="AJ708" s="40"/>
      <c r="AK708" s="40"/>
    </row>
    <row r="709">
      <c r="A709" s="300"/>
      <c r="B709" s="300"/>
      <c r="C709" s="300"/>
      <c r="D709" s="300"/>
      <c r="E709" s="300"/>
      <c r="F709" s="329"/>
      <c r="G709" s="300"/>
      <c r="H709" s="300"/>
      <c r="I709" s="300"/>
      <c r="J709" s="300"/>
      <c r="K709" s="300"/>
      <c r="L709" s="329"/>
      <c r="M709" s="29" t="str">
        <f t="shared" si="1"/>
        <v/>
      </c>
      <c r="N709" s="31" t="str">
        <f>IFERROR(__xludf.DUMMYFUNCTION("IF(Account!$F709&lt;&gt;"""", VALUE(REGEXREPLACE($I709, ""\,"", ""."")), """")"),"")</f>
        <v/>
      </c>
      <c r="O709" s="33" t="str">
        <f>IF(Account!$F709&lt;&gt;"", DATEVALUE(MID($A709,4,3) &amp; LEFT($A709,3) &amp; RIGHT($A709,4)) + TIMEVALUE($B709), "")</f>
        <v/>
      </c>
      <c r="P709" s="34" t="str">
        <f>IF(Account!$F709&lt;&gt;"", DATEVALUE(MID($C709,4,3) &amp; LEFT($C709,3) &amp; RIGHT($C709,4)), "")</f>
        <v/>
      </c>
      <c r="Q709" s="35" t="str">
        <f t="array" ref="Q709">IF($R709&lt;&gt;"",IFERROR(INDEX(Investment!$A:$A,MATCH($R709,Investment!$H:$H,0))),)</f>
        <v/>
      </c>
      <c r="R709" s="36" t="str">
        <f t="array" ref="R709">IF(AND($Y709="change",$H709="EUR"),IF(AND($AA709="Crédit",$O709=$O710),$R710,IF(AND($AA709="Débit",$O709=$O708),$R708)),IF(OR(AND(OR($E709&lt;&gt;"",$M709=""),$N709&lt;&gt;0),$A709=""),IFERROR(INDEX(Investment!$H:$H,MATCH($E709,Investment!$F:$F,0))),IFERROR(INDEX($R710:$R1119,MATCH(SUBSTITUTE($I709,"-","",1),$K710:$K1119,0)),INDEX($R710:$R1119,MATCH($K709,$K710:$K1119,0)))))</f>
        <v/>
      </c>
      <c r="S709" s="35" t="str">
        <f t="shared" si="2"/>
        <v/>
      </c>
      <c r="T709" s="37" t="str">
        <f t="shared" si="3"/>
        <v/>
      </c>
      <c r="U709" s="38" t="str">
        <f t="shared" si="4"/>
        <v/>
      </c>
      <c r="V709" s="31" t="str">
        <f t="shared" si="5"/>
        <v/>
      </c>
      <c r="W709" s="39" t="str">
        <f>IFERROR(__xludf.DUMMYFUNCTION(" IF(Account!$F709&lt;&gt;"""", SPLIT(Account!$F709, "" ""), """")"),"")</f>
        <v/>
      </c>
      <c r="X709" s="40"/>
      <c r="Y709" s="40"/>
      <c r="Z709" s="40"/>
      <c r="AA709" s="40"/>
      <c r="AB709" s="40"/>
      <c r="AC709" s="40"/>
      <c r="AD709" s="40"/>
      <c r="AE709" s="40"/>
      <c r="AF709" s="40"/>
      <c r="AG709" s="40"/>
      <c r="AH709" s="40"/>
      <c r="AI709" s="40"/>
      <c r="AJ709" s="40"/>
      <c r="AK709" s="40"/>
    </row>
    <row r="710">
      <c r="A710" s="300"/>
      <c r="B710" s="300"/>
      <c r="C710" s="300"/>
      <c r="D710" s="300"/>
      <c r="E710" s="300"/>
      <c r="F710" s="329"/>
      <c r="G710" s="300"/>
      <c r="H710" s="300"/>
      <c r="I710" s="300"/>
      <c r="J710" s="300"/>
      <c r="K710" s="300"/>
      <c r="L710" s="329"/>
      <c r="M710" s="29" t="str">
        <f t="shared" si="1"/>
        <v/>
      </c>
      <c r="N710" s="31" t="str">
        <f>IFERROR(__xludf.DUMMYFUNCTION("IF(Account!$F710&lt;&gt;"""", VALUE(REGEXREPLACE($I710, ""\,"", ""."")), """")"),"")</f>
        <v/>
      </c>
      <c r="O710" s="33" t="str">
        <f>IF(Account!$F710&lt;&gt;"", DATEVALUE(MID($A710,4,3) &amp; LEFT($A710,3) &amp; RIGHT($A710,4)) + TIMEVALUE($B710), "")</f>
        <v/>
      </c>
      <c r="P710" s="34" t="str">
        <f>IF(Account!$F710&lt;&gt;"", DATEVALUE(MID($C710,4,3) &amp; LEFT($C710,3) &amp; RIGHT($C710,4)), "")</f>
        <v/>
      </c>
      <c r="Q710" s="35" t="str">
        <f t="array" ref="Q710">IF($R710&lt;&gt;"",IFERROR(INDEX(Investment!$A:$A,MATCH($R710,Investment!$H:$H,0))),)</f>
        <v/>
      </c>
      <c r="R710" s="36" t="str">
        <f t="array" ref="R710">IF(AND($Y710="change",$H710="EUR"),IF(AND($AA710="Crédit",$O710=$O711),$R711,IF(AND($AA710="Débit",$O710=$O709),$R709)),IF(OR(AND(OR($E710&lt;&gt;"",$M710=""),$N710&lt;&gt;0),$A710=""),IFERROR(INDEX(Investment!$H:$H,MATCH($E710,Investment!$F:$F,0))),IFERROR(INDEX($R711:$R1119,MATCH(SUBSTITUTE($I710,"-","",1),$K711:$K1119,0)),INDEX($R711:$R1119,MATCH($K710,$K711:$K1119,0)))))</f>
        <v/>
      </c>
      <c r="S710" s="35" t="str">
        <f t="shared" si="2"/>
        <v/>
      </c>
      <c r="T710" s="37" t="str">
        <f t="shared" si="3"/>
        <v/>
      </c>
      <c r="U710" s="38" t="str">
        <f t="shared" si="4"/>
        <v/>
      </c>
      <c r="V710" s="31" t="str">
        <f t="shared" si="5"/>
        <v/>
      </c>
      <c r="W710" s="39" t="str">
        <f>IFERROR(__xludf.DUMMYFUNCTION(" IF(Account!$F710&lt;&gt;"""", SPLIT(Account!$F710, "" ""), """")"),"")</f>
        <v/>
      </c>
      <c r="X710" s="40"/>
      <c r="Y710" s="40"/>
      <c r="Z710" s="40"/>
      <c r="AA710" s="40"/>
      <c r="AB710" s="40"/>
      <c r="AC710" s="40"/>
      <c r="AD710" s="40"/>
      <c r="AE710" s="40"/>
      <c r="AF710" s="40"/>
      <c r="AG710" s="40"/>
      <c r="AH710" s="40"/>
      <c r="AI710" s="40"/>
      <c r="AJ710" s="40"/>
      <c r="AK710" s="40"/>
    </row>
    <row r="711">
      <c r="A711" s="300"/>
      <c r="B711" s="300"/>
      <c r="C711" s="300"/>
      <c r="D711" s="300"/>
      <c r="E711" s="300"/>
      <c r="F711" s="329"/>
      <c r="G711" s="300"/>
      <c r="H711" s="300"/>
      <c r="I711" s="300"/>
      <c r="J711" s="300"/>
      <c r="K711" s="300"/>
      <c r="L711" s="329"/>
      <c r="M711" s="29" t="str">
        <f t="shared" si="1"/>
        <v/>
      </c>
      <c r="N711" s="31" t="str">
        <f>IFERROR(__xludf.DUMMYFUNCTION("IF(Account!$F711&lt;&gt;"""", VALUE(REGEXREPLACE($I711, ""\,"", ""."")), """")"),"")</f>
        <v/>
      </c>
      <c r="O711" s="33" t="str">
        <f>IF(Account!$F711&lt;&gt;"", DATEVALUE(MID($A711,4,3) &amp; LEFT($A711,3) &amp; RIGHT($A711,4)) + TIMEVALUE($B711), "")</f>
        <v/>
      </c>
      <c r="P711" s="34" t="str">
        <f>IF(Account!$F711&lt;&gt;"", DATEVALUE(MID($C711,4,3) &amp; LEFT($C711,3) &amp; RIGHT($C711,4)), "")</f>
        <v/>
      </c>
      <c r="Q711" s="35" t="str">
        <f t="array" ref="Q711">IF($R711&lt;&gt;"",IFERROR(INDEX(Investment!$A:$A,MATCH($R711,Investment!$H:$H,0))),)</f>
        <v/>
      </c>
      <c r="R711" s="36" t="str">
        <f t="array" ref="R711">IF(AND($Y711="change",$H711="EUR"),IF(AND($AA711="Crédit",$O711=$O712),$R712,IF(AND($AA711="Débit",$O711=$O710),$R710)),IF(OR(AND(OR($E711&lt;&gt;"",$M711=""),$N711&lt;&gt;0),$A711=""),IFERROR(INDEX(Investment!$H:$H,MATCH($E711,Investment!$F:$F,0))),IFERROR(INDEX($R712:$R1119,MATCH(SUBSTITUTE($I711,"-","",1),$K712:$K1119,0)),INDEX($R712:$R1119,MATCH($K711,$K712:$K1119,0)))))</f>
        <v/>
      </c>
      <c r="S711" s="35" t="str">
        <f t="shared" si="2"/>
        <v/>
      </c>
      <c r="T711" s="37" t="str">
        <f t="shared" si="3"/>
        <v/>
      </c>
      <c r="U711" s="38" t="str">
        <f t="shared" si="4"/>
        <v/>
      </c>
      <c r="V711" s="31" t="str">
        <f t="shared" si="5"/>
        <v/>
      </c>
      <c r="W711" s="39" t="str">
        <f>IFERROR(__xludf.DUMMYFUNCTION(" IF(Account!$F711&lt;&gt;"""", SPLIT(Account!$F711, "" ""), """")"),"")</f>
        <v/>
      </c>
      <c r="X711" s="40"/>
      <c r="Y711" s="40"/>
      <c r="Z711" s="40"/>
      <c r="AA711" s="40"/>
      <c r="AB711" s="40"/>
      <c r="AC711" s="40"/>
      <c r="AD711" s="40"/>
      <c r="AE711" s="40"/>
      <c r="AF711" s="40"/>
      <c r="AG711" s="40"/>
      <c r="AH711" s="40"/>
      <c r="AI711" s="40"/>
      <c r="AJ711" s="40"/>
      <c r="AK711" s="40"/>
    </row>
    <row r="712">
      <c r="A712" s="300"/>
      <c r="B712" s="300"/>
      <c r="C712" s="300"/>
      <c r="D712" s="300"/>
      <c r="E712" s="300"/>
      <c r="F712" s="329"/>
      <c r="G712" s="300"/>
      <c r="H712" s="300"/>
      <c r="I712" s="300"/>
      <c r="J712" s="300"/>
      <c r="K712" s="300"/>
      <c r="L712" s="329"/>
      <c r="M712" s="29" t="str">
        <f t="shared" si="1"/>
        <v/>
      </c>
      <c r="N712" s="31" t="str">
        <f>IFERROR(__xludf.DUMMYFUNCTION("IF(Account!$F712&lt;&gt;"""", VALUE(REGEXREPLACE($I712, ""\,"", ""."")), """")"),"")</f>
        <v/>
      </c>
      <c r="O712" s="33" t="str">
        <f>IF(Account!$F712&lt;&gt;"", DATEVALUE(MID($A712,4,3) &amp; LEFT($A712,3) &amp; RIGHT($A712,4)) + TIMEVALUE($B712), "")</f>
        <v/>
      </c>
      <c r="P712" s="34" t="str">
        <f>IF(Account!$F712&lt;&gt;"", DATEVALUE(MID($C712,4,3) &amp; LEFT($C712,3) &amp; RIGHT($C712,4)), "")</f>
        <v/>
      </c>
      <c r="Q712" s="35" t="str">
        <f t="array" ref="Q712">IF($R712&lt;&gt;"",IFERROR(INDEX(Investment!$A:$A,MATCH($R712,Investment!$H:$H,0))),)</f>
        <v/>
      </c>
      <c r="R712" s="36" t="str">
        <f t="array" ref="R712">IF(AND($Y712="change",$H712="EUR"),IF(AND($AA712="Crédit",$O712=$O713),$R713,IF(AND($AA712="Débit",$O712=$O711),$R711)),IF(OR(AND(OR($E712&lt;&gt;"",$M712=""),$N712&lt;&gt;0),$A712=""),IFERROR(INDEX(Investment!$H:$H,MATCH($E712,Investment!$F:$F,0))),IFERROR(INDEX($R713:$R1119,MATCH(SUBSTITUTE($I712,"-","",1),$K713:$K1119,0)),INDEX($R713:$R1119,MATCH($K712,$K713:$K1119,0)))))</f>
        <v/>
      </c>
      <c r="S712" s="35" t="str">
        <f t="shared" si="2"/>
        <v/>
      </c>
      <c r="T712" s="37" t="str">
        <f t="shared" si="3"/>
        <v/>
      </c>
      <c r="U712" s="38" t="str">
        <f t="shared" si="4"/>
        <v/>
      </c>
      <c r="V712" s="31" t="str">
        <f t="shared" si="5"/>
        <v/>
      </c>
      <c r="W712" s="39" t="str">
        <f>IFERROR(__xludf.DUMMYFUNCTION(" IF(Account!$F712&lt;&gt;"""", SPLIT(Account!$F712, "" ""), """")"),"")</f>
        <v/>
      </c>
      <c r="X712" s="40"/>
      <c r="Y712" s="40"/>
      <c r="Z712" s="40"/>
      <c r="AA712" s="40"/>
      <c r="AB712" s="40"/>
      <c r="AC712" s="40"/>
      <c r="AD712" s="40"/>
      <c r="AE712" s="40"/>
      <c r="AF712" s="40"/>
      <c r="AG712" s="40"/>
      <c r="AH712" s="40"/>
      <c r="AI712" s="40"/>
      <c r="AJ712" s="40"/>
      <c r="AK712" s="40"/>
    </row>
    <row r="713">
      <c r="A713" s="300"/>
      <c r="B713" s="300"/>
      <c r="C713" s="300"/>
      <c r="D713" s="300"/>
      <c r="E713" s="300"/>
      <c r="F713" s="329"/>
      <c r="G713" s="300"/>
      <c r="H713" s="300"/>
      <c r="I713" s="300"/>
      <c r="J713" s="300"/>
      <c r="K713" s="300"/>
      <c r="L713" s="329"/>
      <c r="M713" s="29" t="str">
        <f t="shared" si="1"/>
        <v/>
      </c>
      <c r="N713" s="31" t="str">
        <f>IFERROR(__xludf.DUMMYFUNCTION("IF(Account!$F713&lt;&gt;"""", VALUE(REGEXREPLACE($I713, ""\,"", ""."")), """")"),"")</f>
        <v/>
      </c>
      <c r="O713" s="33" t="str">
        <f>IF(Account!$F713&lt;&gt;"", DATEVALUE(MID($A713,4,3) &amp; LEFT($A713,3) &amp; RIGHT($A713,4)) + TIMEVALUE($B713), "")</f>
        <v/>
      </c>
      <c r="P713" s="34" t="str">
        <f>IF(Account!$F713&lt;&gt;"", DATEVALUE(MID($C713,4,3) &amp; LEFT($C713,3) &amp; RIGHT($C713,4)), "")</f>
        <v/>
      </c>
      <c r="Q713" s="35" t="str">
        <f t="array" ref="Q713">IF($R713&lt;&gt;"",IFERROR(INDEX(Investment!$A:$A,MATCH($R713,Investment!$H:$H,0))),)</f>
        <v/>
      </c>
      <c r="R713" s="36" t="str">
        <f t="array" ref="R713">IF(AND($Y713="change",$H713="EUR"),IF(AND($AA713="Crédit",$O713=$O714),$R714,IF(AND($AA713="Débit",$O713=$O712),$R712)),IF(OR(AND(OR($E713&lt;&gt;"",$M713=""),$N713&lt;&gt;0),$A713=""),IFERROR(INDEX(Investment!$H:$H,MATCH($E713,Investment!$F:$F,0))),IFERROR(INDEX($R714:$R1119,MATCH(SUBSTITUTE($I713,"-","",1),$K714:$K1119,0)),INDEX($R714:$R1119,MATCH($K713,$K714:$K1119,0)))))</f>
        <v/>
      </c>
      <c r="S713" s="35" t="str">
        <f t="shared" si="2"/>
        <v/>
      </c>
      <c r="T713" s="37" t="str">
        <f t="shared" si="3"/>
        <v/>
      </c>
      <c r="U713" s="38" t="str">
        <f t="shared" si="4"/>
        <v/>
      </c>
      <c r="V713" s="31" t="str">
        <f t="shared" si="5"/>
        <v/>
      </c>
      <c r="W713" s="39" t="str">
        <f>IFERROR(__xludf.DUMMYFUNCTION(" IF(Account!$F713&lt;&gt;"""", SPLIT(Account!$F713, "" ""), """")"),"")</f>
        <v/>
      </c>
      <c r="X713" s="40"/>
      <c r="Y713" s="40"/>
      <c r="Z713" s="40"/>
      <c r="AA713" s="40"/>
      <c r="AB713" s="40"/>
      <c r="AC713" s="40"/>
      <c r="AD713" s="40"/>
      <c r="AE713" s="40"/>
      <c r="AF713" s="40"/>
      <c r="AG713" s="40"/>
      <c r="AH713" s="40"/>
      <c r="AI713" s="40"/>
      <c r="AJ713" s="40"/>
      <c r="AK713" s="40"/>
    </row>
    <row r="714">
      <c r="A714" s="300"/>
      <c r="B714" s="300"/>
      <c r="C714" s="300"/>
      <c r="D714" s="300"/>
      <c r="E714" s="300"/>
      <c r="F714" s="329"/>
      <c r="G714" s="300"/>
      <c r="H714" s="300"/>
      <c r="I714" s="300"/>
      <c r="J714" s="300"/>
      <c r="K714" s="300"/>
      <c r="L714" s="329"/>
      <c r="M714" s="29" t="str">
        <f t="shared" si="1"/>
        <v/>
      </c>
      <c r="N714" s="31" t="str">
        <f>IFERROR(__xludf.DUMMYFUNCTION("IF(Account!$F714&lt;&gt;"""", VALUE(REGEXREPLACE($I714, ""\,"", ""."")), """")"),"")</f>
        <v/>
      </c>
      <c r="O714" s="33" t="str">
        <f>IF(Account!$F714&lt;&gt;"", DATEVALUE(MID($A714,4,3) &amp; LEFT($A714,3) &amp; RIGHT($A714,4)) + TIMEVALUE($B714), "")</f>
        <v/>
      </c>
      <c r="P714" s="34" t="str">
        <f>IF(Account!$F714&lt;&gt;"", DATEVALUE(MID($C714,4,3) &amp; LEFT($C714,3) &amp; RIGHT($C714,4)), "")</f>
        <v/>
      </c>
      <c r="Q714" s="35" t="str">
        <f t="array" ref="Q714">IF($R714&lt;&gt;"",IFERROR(INDEX(Investment!$A:$A,MATCH($R714,Investment!$H:$H,0))),)</f>
        <v/>
      </c>
      <c r="R714" s="36" t="str">
        <f t="array" ref="R714">IF(AND($Y714="change",$H714="EUR"),IF(AND($AA714="Crédit",$O714=$O715),$R715,IF(AND($AA714="Débit",$O714=$O713),$R713)),IF(OR(AND(OR($E714&lt;&gt;"",$M714=""),$N714&lt;&gt;0),$A714=""),IFERROR(INDEX(Investment!$H:$H,MATCH($E714,Investment!$F:$F,0))),IFERROR(INDEX($R715:$R1119,MATCH(SUBSTITUTE($I714,"-","",1),$K715:$K1119,0)),INDEX($R715:$R1119,MATCH($K714,$K715:$K1119,0)))))</f>
        <v/>
      </c>
      <c r="S714" s="35" t="str">
        <f t="shared" si="2"/>
        <v/>
      </c>
      <c r="T714" s="37" t="str">
        <f t="shared" si="3"/>
        <v/>
      </c>
      <c r="U714" s="38" t="str">
        <f t="shared" si="4"/>
        <v/>
      </c>
      <c r="V714" s="31" t="str">
        <f t="shared" si="5"/>
        <v/>
      </c>
      <c r="W714" s="39" t="str">
        <f>IFERROR(__xludf.DUMMYFUNCTION(" IF(Account!$F714&lt;&gt;"""", SPLIT(Account!$F714, "" ""), """")"),"")</f>
        <v/>
      </c>
      <c r="X714" s="40"/>
      <c r="Y714" s="40"/>
      <c r="Z714" s="40"/>
      <c r="AA714" s="40"/>
      <c r="AB714" s="40"/>
      <c r="AC714" s="40"/>
      <c r="AD714" s="40"/>
      <c r="AE714" s="40"/>
      <c r="AF714" s="40"/>
      <c r="AG714" s="40"/>
      <c r="AH714" s="40"/>
      <c r="AI714" s="40"/>
      <c r="AJ714" s="40"/>
      <c r="AK714" s="40"/>
    </row>
    <row r="715">
      <c r="A715" s="300"/>
      <c r="B715" s="300"/>
      <c r="C715" s="300"/>
      <c r="D715" s="300"/>
      <c r="E715" s="300"/>
      <c r="F715" s="329"/>
      <c r="G715" s="300"/>
      <c r="H715" s="300"/>
      <c r="I715" s="300"/>
      <c r="J715" s="300"/>
      <c r="K715" s="300"/>
      <c r="L715" s="329"/>
      <c r="M715" s="29" t="str">
        <f t="shared" si="1"/>
        <v/>
      </c>
      <c r="N715" s="31" t="str">
        <f>IFERROR(__xludf.DUMMYFUNCTION("IF(Account!$F715&lt;&gt;"""", VALUE(REGEXREPLACE($I715, ""\,"", ""."")), """")"),"")</f>
        <v/>
      </c>
      <c r="O715" s="33" t="str">
        <f>IF(Account!$F715&lt;&gt;"", DATEVALUE(MID($A715,4,3) &amp; LEFT($A715,3) &amp; RIGHT($A715,4)) + TIMEVALUE($B715), "")</f>
        <v/>
      </c>
      <c r="P715" s="34" t="str">
        <f>IF(Account!$F715&lt;&gt;"", DATEVALUE(MID($C715,4,3) &amp; LEFT($C715,3) &amp; RIGHT($C715,4)), "")</f>
        <v/>
      </c>
      <c r="Q715" s="35" t="str">
        <f t="array" ref="Q715">IF($R715&lt;&gt;"",IFERROR(INDEX(Investment!$A:$A,MATCH($R715,Investment!$H:$H,0))),)</f>
        <v/>
      </c>
      <c r="R715" s="36" t="str">
        <f t="array" ref="R715">IF(AND($Y715="change",$H715="EUR"),IF(AND($AA715="Crédit",$O715=$O716),$R716,IF(AND($AA715="Débit",$O715=$O714),$R714)),IF(OR(AND(OR($E715&lt;&gt;"",$M715=""),$N715&lt;&gt;0),$A715=""),IFERROR(INDEX(Investment!$H:$H,MATCH($E715,Investment!$F:$F,0))),IFERROR(INDEX($R716:$R1119,MATCH(SUBSTITUTE($I715,"-","",1),$K716:$K1119,0)),INDEX($R716:$R1119,MATCH($K715,$K716:$K1119,0)))))</f>
        <v/>
      </c>
      <c r="S715" s="35" t="str">
        <f t="shared" si="2"/>
        <v/>
      </c>
      <c r="T715" s="37" t="str">
        <f t="shared" si="3"/>
        <v/>
      </c>
      <c r="U715" s="38" t="str">
        <f t="shared" si="4"/>
        <v/>
      </c>
      <c r="V715" s="31" t="str">
        <f t="shared" si="5"/>
        <v/>
      </c>
      <c r="W715" s="39" t="str">
        <f>IFERROR(__xludf.DUMMYFUNCTION(" IF(Account!$F715&lt;&gt;"""", SPLIT(Account!$F715, "" ""), """")"),"")</f>
        <v/>
      </c>
      <c r="X715" s="40"/>
      <c r="Y715" s="40"/>
      <c r="Z715" s="40"/>
      <c r="AA715" s="40"/>
      <c r="AB715" s="40"/>
      <c r="AC715" s="40"/>
      <c r="AD715" s="40"/>
      <c r="AE715" s="40"/>
      <c r="AF715" s="40"/>
      <c r="AG715" s="40"/>
      <c r="AH715" s="40"/>
      <c r="AI715" s="40"/>
      <c r="AJ715" s="40"/>
      <c r="AK715" s="40"/>
    </row>
    <row r="716">
      <c r="A716" s="300"/>
      <c r="B716" s="300"/>
      <c r="C716" s="300"/>
      <c r="D716" s="300"/>
      <c r="E716" s="300"/>
      <c r="F716" s="329"/>
      <c r="G716" s="300"/>
      <c r="H716" s="300"/>
      <c r="I716" s="300"/>
      <c r="J716" s="300"/>
      <c r="K716" s="300"/>
      <c r="L716" s="329"/>
      <c r="M716" s="29" t="str">
        <f t="shared" si="1"/>
        <v/>
      </c>
      <c r="N716" s="31" t="str">
        <f>IFERROR(__xludf.DUMMYFUNCTION("IF(Account!$F716&lt;&gt;"""", VALUE(REGEXREPLACE($I716, ""\,"", ""."")), """")"),"")</f>
        <v/>
      </c>
      <c r="O716" s="33" t="str">
        <f>IF(Account!$F716&lt;&gt;"", DATEVALUE(MID($A716,4,3) &amp; LEFT($A716,3) &amp; RIGHT($A716,4)) + TIMEVALUE($B716), "")</f>
        <v/>
      </c>
      <c r="P716" s="34" t="str">
        <f>IF(Account!$F716&lt;&gt;"", DATEVALUE(MID($C716,4,3) &amp; LEFT($C716,3) &amp; RIGHT($C716,4)), "")</f>
        <v/>
      </c>
      <c r="Q716" s="35" t="str">
        <f t="array" ref="Q716">IF($R716&lt;&gt;"",IFERROR(INDEX(Investment!$A:$A,MATCH($R716,Investment!$H:$H,0))),)</f>
        <v/>
      </c>
      <c r="R716" s="36" t="str">
        <f t="array" ref="R716">IF(AND($Y716="change",$H716="EUR"),IF(AND($AA716="Crédit",$O716=$O717),$R717,IF(AND($AA716="Débit",$O716=$O715),$R715)),IF(OR(AND(OR($E716&lt;&gt;"",$M716=""),$N716&lt;&gt;0),$A716=""),IFERROR(INDEX(Investment!$H:$H,MATCH($E716,Investment!$F:$F,0))),IFERROR(INDEX($R717:$R1119,MATCH(SUBSTITUTE($I716,"-","",1),$K717:$K1119,0)),INDEX($R717:$R1119,MATCH($K716,$K717:$K1119,0)))))</f>
        <v/>
      </c>
      <c r="S716" s="35" t="str">
        <f t="shared" si="2"/>
        <v/>
      </c>
      <c r="T716" s="37" t="str">
        <f t="shared" si="3"/>
        <v/>
      </c>
      <c r="U716" s="38" t="str">
        <f t="shared" si="4"/>
        <v/>
      </c>
      <c r="V716" s="31" t="str">
        <f t="shared" si="5"/>
        <v/>
      </c>
      <c r="W716" s="39" t="str">
        <f>IFERROR(__xludf.DUMMYFUNCTION(" IF(Account!$F716&lt;&gt;"""", SPLIT(Account!$F716, "" ""), """")"),"")</f>
        <v/>
      </c>
      <c r="X716" s="40"/>
      <c r="Y716" s="40"/>
      <c r="Z716" s="40"/>
      <c r="AA716" s="40"/>
      <c r="AB716" s="40"/>
      <c r="AC716" s="40"/>
      <c r="AD716" s="40"/>
      <c r="AE716" s="40"/>
      <c r="AF716" s="40"/>
      <c r="AG716" s="40"/>
      <c r="AH716" s="40"/>
      <c r="AI716" s="40"/>
      <c r="AJ716" s="40"/>
      <c r="AK716" s="40"/>
    </row>
    <row r="717">
      <c r="A717" s="300"/>
      <c r="B717" s="300"/>
      <c r="C717" s="300"/>
      <c r="D717" s="300"/>
      <c r="E717" s="300"/>
      <c r="F717" s="329"/>
      <c r="G717" s="300"/>
      <c r="H717" s="300"/>
      <c r="I717" s="300"/>
      <c r="J717" s="300"/>
      <c r="K717" s="300"/>
      <c r="L717" s="329"/>
      <c r="M717" s="29" t="str">
        <f t="shared" si="1"/>
        <v/>
      </c>
      <c r="N717" s="31" t="str">
        <f>IFERROR(__xludf.DUMMYFUNCTION("IF(Account!$F717&lt;&gt;"""", VALUE(REGEXREPLACE($I717, ""\,"", ""."")), """")"),"")</f>
        <v/>
      </c>
      <c r="O717" s="33" t="str">
        <f>IF(Account!$F717&lt;&gt;"", DATEVALUE(MID($A717,4,3) &amp; LEFT($A717,3) &amp; RIGHT($A717,4)) + TIMEVALUE($B717), "")</f>
        <v/>
      </c>
      <c r="P717" s="34" t="str">
        <f>IF(Account!$F717&lt;&gt;"", DATEVALUE(MID($C717,4,3) &amp; LEFT($C717,3) &amp; RIGHT($C717,4)), "")</f>
        <v/>
      </c>
      <c r="Q717" s="35" t="str">
        <f t="array" ref="Q717">IF($R717&lt;&gt;"",IFERROR(INDEX(Investment!$A:$A,MATCH($R717,Investment!$H:$H,0))),)</f>
        <v/>
      </c>
      <c r="R717" s="36" t="str">
        <f t="array" ref="R717">IF(AND($Y717="change",$H717="EUR"),IF(AND($AA717="Crédit",$O717=$O718),$R718,IF(AND($AA717="Débit",$O717=$O716),$R716)),IF(OR(AND(OR($E717&lt;&gt;"",$M717=""),$N717&lt;&gt;0),$A717=""),IFERROR(INDEX(Investment!$H:$H,MATCH($E717,Investment!$F:$F,0))),IFERROR(INDEX($R718:$R1119,MATCH(SUBSTITUTE($I717,"-","",1),$K718:$K1119,0)),INDEX($R718:$R1119,MATCH($K717,$K718:$K1119,0)))))</f>
        <v/>
      </c>
      <c r="S717" s="35" t="str">
        <f t="shared" si="2"/>
        <v/>
      </c>
      <c r="T717" s="37" t="str">
        <f t="shared" si="3"/>
        <v/>
      </c>
      <c r="U717" s="38" t="str">
        <f t="shared" si="4"/>
        <v/>
      </c>
      <c r="V717" s="31" t="str">
        <f t="shared" si="5"/>
        <v/>
      </c>
      <c r="W717" s="39" t="str">
        <f>IFERROR(__xludf.DUMMYFUNCTION(" IF(Account!$F717&lt;&gt;"""", SPLIT(Account!$F717, "" ""), """")"),"")</f>
        <v/>
      </c>
      <c r="X717" s="40"/>
      <c r="Y717" s="40"/>
      <c r="Z717" s="40"/>
      <c r="AA717" s="40"/>
      <c r="AB717" s="40"/>
      <c r="AC717" s="40"/>
      <c r="AD717" s="40"/>
      <c r="AE717" s="40"/>
      <c r="AF717" s="40"/>
      <c r="AG717" s="40"/>
      <c r="AH717" s="40"/>
      <c r="AI717" s="40"/>
      <c r="AJ717" s="40"/>
      <c r="AK717" s="40"/>
    </row>
    <row r="718">
      <c r="A718" s="300"/>
      <c r="B718" s="300"/>
      <c r="C718" s="300"/>
      <c r="D718" s="300"/>
      <c r="E718" s="300"/>
      <c r="F718" s="329"/>
      <c r="G718" s="300"/>
      <c r="H718" s="300"/>
      <c r="I718" s="300"/>
      <c r="J718" s="300"/>
      <c r="K718" s="300"/>
      <c r="L718" s="329"/>
      <c r="M718" s="29" t="str">
        <f t="shared" si="1"/>
        <v/>
      </c>
      <c r="N718" s="31" t="str">
        <f>IFERROR(__xludf.DUMMYFUNCTION("IF(Account!$F718&lt;&gt;"""", VALUE(REGEXREPLACE($I718, ""\,"", ""."")), """")"),"")</f>
        <v/>
      </c>
      <c r="O718" s="33" t="str">
        <f>IF(Account!$F718&lt;&gt;"", DATEVALUE(MID($A718,4,3) &amp; LEFT($A718,3) &amp; RIGHT($A718,4)) + TIMEVALUE($B718), "")</f>
        <v/>
      </c>
      <c r="P718" s="34" t="str">
        <f>IF(Account!$F718&lt;&gt;"", DATEVALUE(MID($C718,4,3) &amp; LEFT($C718,3) &amp; RIGHT($C718,4)), "")</f>
        <v/>
      </c>
      <c r="Q718" s="35" t="str">
        <f t="array" ref="Q718">IF($R718&lt;&gt;"",IFERROR(INDEX(Investment!$A:$A,MATCH($R718,Investment!$H:$H,0))),)</f>
        <v/>
      </c>
      <c r="R718" s="36" t="str">
        <f t="array" ref="R718">IF(AND($Y718="change",$H718="EUR"),IF(AND($AA718="Crédit",$O718=$O719),$R719,IF(AND($AA718="Débit",$O718=$O717),$R717)),IF(OR(AND(OR($E718&lt;&gt;"",$M718=""),$N718&lt;&gt;0),$A718=""),IFERROR(INDEX(Investment!$H:$H,MATCH($E718,Investment!$F:$F,0))),IFERROR(INDEX($R719:$R1119,MATCH(SUBSTITUTE($I718,"-","",1),$K719:$K1119,0)),INDEX($R719:$R1119,MATCH($K718,$K719:$K1119,0)))))</f>
        <v/>
      </c>
      <c r="S718" s="35" t="str">
        <f t="shared" si="2"/>
        <v/>
      </c>
      <c r="T718" s="37" t="str">
        <f t="shared" si="3"/>
        <v/>
      </c>
      <c r="U718" s="38" t="str">
        <f t="shared" si="4"/>
        <v/>
      </c>
      <c r="V718" s="31" t="str">
        <f t="shared" si="5"/>
        <v/>
      </c>
      <c r="W718" s="39" t="str">
        <f>IFERROR(__xludf.DUMMYFUNCTION(" IF(Account!$F718&lt;&gt;"""", SPLIT(Account!$F718, "" ""), """")"),"")</f>
        <v/>
      </c>
      <c r="X718" s="40"/>
      <c r="Y718" s="40"/>
      <c r="Z718" s="40"/>
      <c r="AA718" s="40"/>
      <c r="AB718" s="40"/>
      <c r="AC718" s="40"/>
      <c r="AD718" s="40"/>
      <c r="AE718" s="40"/>
      <c r="AF718" s="40"/>
      <c r="AG718" s="40"/>
      <c r="AH718" s="40"/>
      <c r="AI718" s="40"/>
      <c r="AJ718" s="40"/>
      <c r="AK718" s="40"/>
    </row>
    <row r="719">
      <c r="A719" s="300"/>
      <c r="B719" s="300"/>
      <c r="C719" s="300"/>
      <c r="D719" s="300"/>
      <c r="E719" s="300"/>
      <c r="F719" s="329"/>
      <c r="G719" s="300"/>
      <c r="H719" s="300"/>
      <c r="I719" s="300"/>
      <c r="J719" s="300"/>
      <c r="K719" s="300"/>
      <c r="L719" s="329"/>
      <c r="M719" s="29" t="str">
        <f t="shared" si="1"/>
        <v/>
      </c>
      <c r="N719" s="31" t="str">
        <f>IFERROR(__xludf.DUMMYFUNCTION("IF(Account!$F719&lt;&gt;"""", VALUE(REGEXREPLACE($I719, ""\,"", ""."")), """")"),"")</f>
        <v/>
      </c>
      <c r="O719" s="33" t="str">
        <f>IF(Account!$F719&lt;&gt;"", DATEVALUE(MID($A719,4,3) &amp; LEFT($A719,3) &amp; RIGHT($A719,4)) + TIMEVALUE($B719), "")</f>
        <v/>
      </c>
      <c r="P719" s="34" t="str">
        <f>IF(Account!$F719&lt;&gt;"", DATEVALUE(MID($C719,4,3) &amp; LEFT($C719,3) &amp; RIGHT($C719,4)), "")</f>
        <v/>
      </c>
      <c r="Q719" s="35" t="str">
        <f t="array" ref="Q719">IF($R719&lt;&gt;"",IFERROR(INDEX(Investment!$A:$A,MATCH($R719,Investment!$H:$H,0))),)</f>
        <v/>
      </c>
      <c r="R719" s="36" t="str">
        <f t="array" ref="R719">IF(AND($Y719="change",$H719="EUR"),IF(AND($AA719="Crédit",$O719=$O720),$R720,IF(AND($AA719="Débit",$O719=$O718),$R718)),IF(OR(AND(OR($E719&lt;&gt;"",$M719=""),$N719&lt;&gt;0),$A719=""),IFERROR(INDEX(Investment!$H:$H,MATCH($E719,Investment!$F:$F,0))),IFERROR(INDEX($R720:$R1119,MATCH(SUBSTITUTE($I719,"-","",1),$K720:$K1119,0)),INDEX($R720:$R1119,MATCH($K719,$K720:$K1119,0)))))</f>
        <v/>
      </c>
      <c r="S719" s="35" t="str">
        <f t="shared" si="2"/>
        <v/>
      </c>
      <c r="T719" s="37" t="str">
        <f t="shared" si="3"/>
        <v/>
      </c>
      <c r="U719" s="38" t="str">
        <f t="shared" si="4"/>
        <v/>
      </c>
      <c r="V719" s="31" t="str">
        <f t="shared" si="5"/>
        <v/>
      </c>
      <c r="W719" s="39" t="str">
        <f>IFERROR(__xludf.DUMMYFUNCTION(" IF(Account!$F719&lt;&gt;"""", SPLIT(Account!$F719, "" ""), """")"),"")</f>
        <v/>
      </c>
      <c r="X719" s="40"/>
      <c r="Y719" s="40"/>
      <c r="Z719" s="40"/>
      <c r="AA719" s="40"/>
      <c r="AB719" s="40"/>
      <c r="AC719" s="40"/>
      <c r="AD719" s="40"/>
      <c r="AE719" s="40"/>
      <c r="AF719" s="40"/>
      <c r="AG719" s="40"/>
      <c r="AH719" s="40"/>
      <c r="AI719" s="40"/>
      <c r="AJ719" s="40"/>
      <c r="AK719" s="40"/>
    </row>
    <row r="720">
      <c r="A720" s="300"/>
      <c r="B720" s="300"/>
      <c r="C720" s="300"/>
      <c r="D720" s="300"/>
      <c r="E720" s="300"/>
      <c r="F720" s="329"/>
      <c r="G720" s="300"/>
      <c r="H720" s="300"/>
      <c r="I720" s="300"/>
      <c r="J720" s="300"/>
      <c r="K720" s="300"/>
      <c r="L720" s="329"/>
      <c r="M720" s="29" t="str">
        <f t="shared" si="1"/>
        <v/>
      </c>
      <c r="N720" s="31" t="str">
        <f>IFERROR(__xludf.DUMMYFUNCTION("IF(Account!$F720&lt;&gt;"""", VALUE(REGEXREPLACE($I720, ""\,"", ""."")), """")"),"")</f>
        <v/>
      </c>
      <c r="O720" s="33" t="str">
        <f>IF(Account!$F720&lt;&gt;"", DATEVALUE(MID($A720,4,3) &amp; LEFT($A720,3) &amp; RIGHT($A720,4)) + TIMEVALUE($B720), "")</f>
        <v/>
      </c>
      <c r="P720" s="34" t="str">
        <f>IF(Account!$F720&lt;&gt;"", DATEVALUE(MID($C720,4,3) &amp; LEFT($C720,3) &amp; RIGHT($C720,4)), "")</f>
        <v/>
      </c>
      <c r="Q720" s="35" t="str">
        <f t="array" ref="Q720">IF($R720&lt;&gt;"",IFERROR(INDEX(Investment!$A:$A,MATCH($R720,Investment!$H:$H,0))),)</f>
        <v/>
      </c>
      <c r="R720" s="36" t="str">
        <f t="array" ref="R720">IF(AND($Y720="change",$H720="EUR"),IF(AND($AA720="Crédit",$O720=$O721),$R721,IF(AND($AA720="Débit",$O720=$O719),$R719)),IF(OR(AND(OR($E720&lt;&gt;"",$M720=""),$N720&lt;&gt;0),$A720=""),IFERROR(INDEX(Investment!$H:$H,MATCH($E720,Investment!$F:$F,0))),IFERROR(INDEX($R721:$R1119,MATCH(SUBSTITUTE($I720,"-","",1),$K721:$K1119,0)),INDEX($R721:$R1119,MATCH($K720,$K721:$K1119,0)))))</f>
        <v/>
      </c>
      <c r="S720" s="35" t="str">
        <f t="shared" si="2"/>
        <v/>
      </c>
      <c r="T720" s="37" t="str">
        <f t="shared" si="3"/>
        <v/>
      </c>
      <c r="U720" s="38" t="str">
        <f t="shared" si="4"/>
        <v/>
      </c>
      <c r="V720" s="31" t="str">
        <f t="shared" si="5"/>
        <v/>
      </c>
      <c r="W720" s="39" t="str">
        <f>IFERROR(__xludf.DUMMYFUNCTION(" IF(Account!$F720&lt;&gt;"""", SPLIT(Account!$F720, "" ""), """")"),"")</f>
        <v/>
      </c>
      <c r="X720" s="40"/>
      <c r="Y720" s="40"/>
      <c r="Z720" s="40"/>
      <c r="AA720" s="40"/>
      <c r="AB720" s="40"/>
      <c r="AC720" s="40"/>
      <c r="AD720" s="40"/>
      <c r="AE720" s="40"/>
      <c r="AF720" s="40"/>
      <c r="AG720" s="40"/>
      <c r="AH720" s="40"/>
      <c r="AI720" s="40"/>
      <c r="AJ720" s="40"/>
      <c r="AK720" s="40"/>
    </row>
    <row r="721">
      <c r="A721" s="300"/>
      <c r="B721" s="300"/>
      <c r="C721" s="300"/>
      <c r="D721" s="300"/>
      <c r="E721" s="300"/>
      <c r="F721" s="329"/>
      <c r="G721" s="300"/>
      <c r="H721" s="300"/>
      <c r="I721" s="300"/>
      <c r="J721" s="300"/>
      <c r="K721" s="300"/>
      <c r="L721" s="329"/>
      <c r="M721" s="29" t="str">
        <f t="shared" si="1"/>
        <v/>
      </c>
      <c r="N721" s="31" t="str">
        <f>IFERROR(__xludf.DUMMYFUNCTION("IF(Account!$F721&lt;&gt;"""", VALUE(REGEXREPLACE($I721, ""\,"", ""."")), """")"),"")</f>
        <v/>
      </c>
      <c r="O721" s="33" t="str">
        <f>IF(Account!$F721&lt;&gt;"", DATEVALUE(MID($A721,4,3) &amp; LEFT($A721,3) &amp; RIGHT($A721,4)) + TIMEVALUE($B721), "")</f>
        <v/>
      </c>
      <c r="P721" s="34" t="str">
        <f>IF(Account!$F721&lt;&gt;"", DATEVALUE(MID($C721,4,3) &amp; LEFT($C721,3) &amp; RIGHT($C721,4)), "")</f>
        <v/>
      </c>
      <c r="Q721" s="35" t="str">
        <f t="array" ref="Q721">IF($R721&lt;&gt;"",IFERROR(INDEX(Investment!$A:$A,MATCH($R721,Investment!$H:$H,0))),)</f>
        <v/>
      </c>
      <c r="R721" s="36" t="str">
        <f t="array" ref="R721">IF(AND($Y721="change",$H721="EUR"),IF(AND($AA721="Crédit",$O721=$O722),$R722,IF(AND($AA721="Débit",$O721=$O720),$R720)),IF(OR(AND(OR($E721&lt;&gt;"",$M721=""),$N721&lt;&gt;0),$A721=""),IFERROR(INDEX(Investment!$H:$H,MATCH($E721,Investment!$F:$F,0))),IFERROR(INDEX($R722:$R1119,MATCH(SUBSTITUTE($I721,"-","",1),$K722:$K1119,0)),INDEX($R722:$R1119,MATCH($K721,$K722:$K1119,0)))))</f>
        <v/>
      </c>
      <c r="S721" s="35" t="str">
        <f t="shared" si="2"/>
        <v/>
      </c>
      <c r="T721" s="37" t="str">
        <f t="shared" si="3"/>
        <v/>
      </c>
      <c r="U721" s="38" t="str">
        <f t="shared" si="4"/>
        <v/>
      </c>
      <c r="V721" s="31" t="str">
        <f t="shared" si="5"/>
        <v/>
      </c>
      <c r="W721" s="39" t="str">
        <f>IFERROR(__xludf.DUMMYFUNCTION(" IF(Account!$F721&lt;&gt;"""", SPLIT(Account!$F721, "" ""), """")"),"")</f>
        <v/>
      </c>
      <c r="X721" s="40"/>
      <c r="Y721" s="40"/>
      <c r="Z721" s="40"/>
      <c r="AA721" s="40"/>
      <c r="AB721" s="40"/>
      <c r="AC721" s="40"/>
      <c r="AD721" s="40"/>
      <c r="AE721" s="40"/>
      <c r="AF721" s="40"/>
      <c r="AG721" s="40"/>
      <c r="AH721" s="40"/>
      <c r="AI721" s="40"/>
      <c r="AJ721" s="40"/>
      <c r="AK721" s="40"/>
    </row>
    <row r="722">
      <c r="A722" s="300"/>
      <c r="B722" s="300"/>
      <c r="C722" s="300"/>
      <c r="D722" s="300"/>
      <c r="E722" s="300"/>
      <c r="F722" s="329"/>
      <c r="G722" s="300"/>
      <c r="H722" s="300"/>
      <c r="I722" s="300"/>
      <c r="J722" s="300"/>
      <c r="K722" s="300"/>
      <c r="L722" s="329"/>
      <c r="M722" s="29" t="str">
        <f t="shared" si="1"/>
        <v/>
      </c>
      <c r="N722" s="31" t="str">
        <f>IFERROR(__xludf.DUMMYFUNCTION("IF(Account!$F722&lt;&gt;"""", VALUE(REGEXREPLACE($I722, ""\,"", ""."")), """")"),"")</f>
        <v/>
      </c>
      <c r="O722" s="33" t="str">
        <f>IF(Account!$F722&lt;&gt;"", DATEVALUE(MID($A722,4,3) &amp; LEFT($A722,3) &amp; RIGHT($A722,4)) + TIMEVALUE($B722), "")</f>
        <v/>
      </c>
      <c r="P722" s="34" t="str">
        <f>IF(Account!$F722&lt;&gt;"", DATEVALUE(MID($C722,4,3) &amp; LEFT($C722,3) &amp; RIGHT($C722,4)), "")</f>
        <v/>
      </c>
      <c r="Q722" s="35" t="str">
        <f t="array" ref="Q722">IF($R722&lt;&gt;"",IFERROR(INDEX(Investment!$A:$A,MATCH($R722,Investment!$H:$H,0))),)</f>
        <v/>
      </c>
      <c r="R722" s="36" t="str">
        <f t="array" ref="R722">IF(AND($Y722="change",$H722="EUR"),IF(AND($AA722="Crédit",$O722=$O723),$R723,IF(AND($AA722="Débit",$O722=$O721),$R721)),IF(OR(AND(OR($E722&lt;&gt;"",$M722=""),$N722&lt;&gt;0),$A722=""),IFERROR(INDEX(Investment!$H:$H,MATCH($E722,Investment!$F:$F,0))),IFERROR(INDEX($R723:$R1119,MATCH(SUBSTITUTE($I722,"-","",1),$K723:$K1119,0)),INDEX($R723:$R1119,MATCH($K722,$K723:$K1119,0)))))</f>
        <v/>
      </c>
      <c r="S722" s="35" t="str">
        <f t="shared" si="2"/>
        <v/>
      </c>
      <c r="T722" s="37" t="str">
        <f t="shared" si="3"/>
        <v/>
      </c>
      <c r="U722" s="38" t="str">
        <f t="shared" si="4"/>
        <v/>
      </c>
      <c r="V722" s="31" t="str">
        <f t="shared" si="5"/>
        <v/>
      </c>
      <c r="W722" s="39" t="str">
        <f>IFERROR(__xludf.DUMMYFUNCTION(" IF(Account!$F722&lt;&gt;"""", SPLIT(Account!$F722, "" ""), """")"),"")</f>
        <v/>
      </c>
      <c r="X722" s="40"/>
      <c r="Y722" s="40"/>
      <c r="Z722" s="40"/>
      <c r="AA722" s="40"/>
      <c r="AB722" s="40"/>
      <c r="AC722" s="40"/>
      <c r="AD722" s="40"/>
      <c r="AE722" s="40"/>
      <c r="AF722" s="40"/>
      <c r="AG722" s="40"/>
      <c r="AH722" s="40"/>
      <c r="AI722" s="40"/>
      <c r="AJ722" s="40"/>
      <c r="AK722" s="40"/>
    </row>
    <row r="723">
      <c r="A723" s="300"/>
      <c r="B723" s="300"/>
      <c r="C723" s="300"/>
      <c r="D723" s="300"/>
      <c r="E723" s="300"/>
      <c r="F723" s="329"/>
      <c r="G723" s="300"/>
      <c r="H723" s="300"/>
      <c r="I723" s="300"/>
      <c r="J723" s="300"/>
      <c r="K723" s="300"/>
      <c r="L723" s="329"/>
      <c r="M723" s="29" t="str">
        <f t="shared" si="1"/>
        <v/>
      </c>
      <c r="N723" s="31" t="str">
        <f>IFERROR(__xludf.DUMMYFUNCTION("IF(Account!$F723&lt;&gt;"""", VALUE(REGEXREPLACE($I723, ""\,"", ""."")), """")"),"")</f>
        <v/>
      </c>
      <c r="O723" s="33" t="str">
        <f>IF(Account!$F723&lt;&gt;"", DATEVALUE(MID($A723,4,3) &amp; LEFT($A723,3) &amp; RIGHT($A723,4)) + TIMEVALUE($B723), "")</f>
        <v/>
      </c>
      <c r="P723" s="34" t="str">
        <f>IF(Account!$F723&lt;&gt;"", DATEVALUE(MID($C723,4,3) &amp; LEFT($C723,3) &amp; RIGHT($C723,4)), "")</f>
        <v/>
      </c>
      <c r="Q723" s="35" t="str">
        <f t="array" ref="Q723">IF($R723&lt;&gt;"",IFERROR(INDEX(Investment!$A:$A,MATCH($R723,Investment!$H:$H,0))),)</f>
        <v/>
      </c>
      <c r="R723" s="36" t="str">
        <f t="array" ref="R723">IF(AND($Y723="change",$H723="EUR"),IF(AND($AA723="Crédit",$O723=$O724),$R724,IF(AND($AA723="Débit",$O723=$O722),$R722)),IF(OR(AND(OR($E723&lt;&gt;"",$M723=""),$N723&lt;&gt;0),$A723=""),IFERROR(INDEX(Investment!$H:$H,MATCH($E723,Investment!$F:$F,0))),IFERROR(INDEX($R724:$R1119,MATCH(SUBSTITUTE($I723,"-","",1),$K724:$K1119,0)),INDEX($R724:$R1119,MATCH($K723,$K724:$K1119,0)))))</f>
        <v/>
      </c>
      <c r="S723" s="35" t="str">
        <f t="shared" si="2"/>
        <v/>
      </c>
      <c r="T723" s="37" t="str">
        <f t="shared" si="3"/>
        <v/>
      </c>
      <c r="U723" s="38" t="str">
        <f t="shared" si="4"/>
        <v/>
      </c>
      <c r="V723" s="31" t="str">
        <f t="shared" si="5"/>
        <v/>
      </c>
      <c r="W723" s="39" t="str">
        <f>IFERROR(__xludf.DUMMYFUNCTION(" IF(Account!$F723&lt;&gt;"""", SPLIT(Account!$F723, "" ""), """")"),"")</f>
        <v/>
      </c>
      <c r="X723" s="40"/>
      <c r="Y723" s="40"/>
      <c r="Z723" s="40"/>
      <c r="AA723" s="40"/>
      <c r="AB723" s="40"/>
      <c r="AC723" s="40"/>
      <c r="AD723" s="40"/>
      <c r="AE723" s="40"/>
      <c r="AF723" s="40"/>
      <c r="AG723" s="40"/>
      <c r="AH723" s="40"/>
      <c r="AI723" s="40"/>
      <c r="AJ723" s="40"/>
      <c r="AK723" s="40"/>
    </row>
    <row r="724">
      <c r="A724" s="300"/>
      <c r="B724" s="300"/>
      <c r="C724" s="300"/>
      <c r="D724" s="300"/>
      <c r="E724" s="300"/>
      <c r="F724" s="329"/>
      <c r="G724" s="300"/>
      <c r="H724" s="300"/>
      <c r="I724" s="300"/>
      <c r="J724" s="300"/>
      <c r="K724" s="300"/>
      <c r="L724" s="329"/>
      <c r="M724" s="29" t="str">
        <f t="shared" si="1"/>
        <v/>
      </c>
      <c r="N724" s="31" t="str">
        <f>IFERROR(__xludf.DUMMYFUNCTION("IF(Account!$F724&lt;&gt;"""", VALUE(REGEXREPLACE($I724, ""\,"", ""."")), """")"),"")</f>
        <v/>
      </c>
      <c r="O724" s="33" t="str">
        <f>IF(Account!$F724&lt;&gt;"", DATEVALUE(MID($A724,4,3) &amp; LEFT($A724,3) &amp; RIGHT($A724,4)) + TIMEVALUE($B724), "")</f>
        <v/>
      </c>
      <c r="P724" s="34" t="str">
        <f>IF(Account!$F724&lt;&gt;"", DATEVALUE(MID($C724,4,3) &amp; LEFT($C724,3) &amp; RIGHT($C724,4)), "")</f>
        <v/>
      </c>
      <c r="Q724" s="35" t="str">
        <f t="array" ref="Q724">IF($R724&lt;&gt;"",IFERROR(INDEX(Investment!$A:$A,MATCH($R724,Investment!$H:$H,0))),)</f>
        <v/>
      </c>
      <c r="R724" s="36" t="str">
        <f t="array" ref="R724">IF(AND($Y724="change",$H724="EUR"),IF(AND($AA724="Crédit",$O724=$O725),$R725,IF(AND($AA724="Débit",$O724=$O723),$R723)),IF(OR(AND(OR($E724&lt;&gt;"",$M724=""),$N724&lt;&gt;0),$A724=""),IFERROR(INDEX(Investment!$H:$H,MATCH($E724,Investment!$F:$F,0))),IFERROR(INDEX($R725:$R1119,MATCH(SUBSTITUTE($I724,"-","",1),$K725:$K1119,0)),INDEX($R725:$R1119,MATCH($K724,$K725:$K1119,0)))))</f>
        <v/>
      </c>
      <c r="S724" s="35" t="str">
        <f t="shared" si="2"/>
        <v/>
      </c>
      <c r="T724" s="37" t="str">
        <f t="shared" si="3"/>
        <v/>
      </c>
      <c r="U724" s="38" t="str">
        <f t="shared" si="4"/>
        <v/>
      </c>
      <c r="V724" s="31" t="str">
        <f t="shared" si="5"/>
        <v/>
      </c>
      <c r="W724" s="39" t="str">
        <f>IFERROR(__xludf.DUMMYFUNCTION(" IF(Account!$F724&lt;&gt;"""", SPLIT(Account!$F724, "" ""), """")"),"")</f>
        <v/>
      </c>
      <c r="X724" s="40"/>
      <c r="Y724" s="40"/>
      <c r="Z724" s="40"/>
      <c r="AA724" s="40"/>
      <c r="AB724" s="40"/>
      <c r="AC724" s="40"/>
      <c r="AD724" s="40"/>
      <c r="AE724" s="40"/>
      <c r="AF724" s="40"/>
      <c r="AG724" s="40"/>
      <c r="AH724" s="40"/>
      <c r="AI724" s="40"/>
      <c r="AJ724" s="40"/>
      <c r="AK724" s="40"/>
    </row>
    <row r="725">
      <c r="A725" s="300"/>
      <c r="B725" s="300"/>
      <c r="C725" s="300"/>
      <c r="D725" s="300"/>
      <c r="E725" s="300"/>
      <c r="F725" s="329"/>
      <c r="G725" s="300"/>
      <c r="H725" s="300"/>
      <c r="I725" s="300"/>
      <c r="J725" s="300"/>
      <c r="K725" s="300"/>
      <c r="L725" s="329"/>
      <c r="M725" s="29" t="str">
        <f t="shared" si="1"/>
        <v/>
      </c>
      <c r="N725" s="31" t="str">
        <f>IFERROR(__xludf.DUMMYFUNCTION("IF(Account!$F725&lt;&gt;"""", VALUE(REGEXREPLACE($I725, ""\,"", ""."")), """")"),"")</f>
        <v/>
      </c>
      <c r="O725" s="33" t="str">
        <f>IF(Account!$F725&lt;&gt;"", DATEVALUE(MID($A725,4,3) &amp; LEFT($A725,3) &amp; RIGHT($A725,4)) + TIMEVALUE($B725), "")</f>
        <v/>
      </c>
      <c r="P725" s="34" t="str">
        <f>IF(Account!$F725&lt;&gt;"", DATEVALUE(MID($C725,4,3) &amp; LEFT($C725,3) &amp; RIGHT($C725,4)), "")</f>
        <v/>
      </c>
      <c r="Q725" s="35" t="str">
        <f t="array" ref="Q725">IF($R725&lt;&gt;"",IFERROR(INDEX(Investment!$A:$A,MATCH($R725,Investment!$H:$H,0))),)</f>
        <v/>
      </c>
      <c r="R725" s="36" t="str">
        <f t="array" ref="R725">IF(AND($Y725="change",$H725="EUR"),IF(AND($AA725="Crédit",$O725=$O726),$R726,IF(AND($AA725="Débit",$O725=$O724),$R724)),IF(OR(AND(OR($E725&lt;&gt;"",$M725=""),$N725&lt;&gt;0),$A725=""),IFERROR(INDEX(Investment!$H:$H,MATCH($E725,Investment!$F:$F,0))),IFERROR(INDEX($R726:$R1119,MATCH(SUBSTITUTE($I725,"-","",1),$K726:$K1119,0)),INDEX($R726:$R1119,MATCH($K725,$K726:$K1119,0)))))</f>
        <v/>
      </c>
      <c r="S725" s="35" t="str">
        <f t="shared" si="2"/>
        <v/>
      </c>
      <c r="T725" s="37" t="str">
        <f t="shared" si="3"/>
        <v/>
      </c>
      <c r="U725" s="38" t="str">
        <f t="shared" si="4"/>
        <v/>
      </c>
      <c r="V725" s="31" t="str">
        <f t="shared" si="5"/>
        <v/>
      </c>
      <c r="W725" s="39" t="str">
        <f>IFERROR(__xludf.DUMMYFUNCTION(" IF(Account!$F725&lt;&gt;"""", SPLIT(Account!$F725, "" ""), """")"),"")</f>
        <v/>
      </c>
      <c r="X725" s="40"/>
      <c r="Y725" s="40"/>
      <c r="Z725" s="40"/>
      <c r="AA725" s="40"/>
      <c r="AB725" s="40"/>
      <c r="AC725" s="40"/>
      <c r="AD725" s="40"/>
      <c r="AE725" s="40"/>
      <c r="AF725" s="40"/>
      <c r="AG725" s="40"/>
      <c r="AH725" s="40"/>
      <c r="AI725" s="40"/>
      <c r="AJ725" s="40"/>
      <c r="AK725" s="40"/>
    </row>
    <row r="726">
      <c r="A726" s="300"/>
      <c r="B726" s="300"/>
      <c r="C726" s="300"/>
      <c r="D726" s="300"/>
      <c r="E726" s="300"/>
      <c r="F726" s="329"/>
      <c r="G726" s="300"/>
      <c r="H726" s="300"/>
      <c r="I726" s="300"/>
      <c r="J726" s="300"/>
      <c r="K726" s="300"/>
      <c r="L726" s="329"/>
      <c r="M726" s="29" t="str">
        <f t="shared" si="1"/>
        <v/>
      </c>
      <c r="N726" s="31" t="str">
        <f>IFERROR(__xludf.DUMMYFUNCTION("IF(Account!$F726&lt;&gt;"""", VALUE(REGEXREPLACE($I726, ""\,"", ""."")), """")"),"")</f>
        <v/>
      </c>
      <c r="O726" s="33" t="str">
        <f>IF(Account!$F726&lt;&gt;"", DATEVALUE(MID($A726,4,3) &amp; LEFT($A726,3) &amp; RIGHT($A726,4)) + TIMEVALUE($B726), "")</f>
        <v/>
      </c>
      <c r="P726" s="34" t="str">
        <f>IF(Account!$F726&lt;&gt;"", DATEVALUE(MID($C726,4,3) &amp; LEFT($C726,3) &amp; RIGHT($C726,4)), "")</f>
        <v/>
      </c>
      <c r="Q726" s="35" t="str">
        <f t="array" ref="Q726">IF($R726&lt;&gt;"",IFERROR(INDEX(Investment!$A:$A,MATCH($R726,Investment!$H:$H,0))),)</f>
        <v/>
      </c>
      <c r="R726" s="36" t="str">
        <f t="array" ref="R726">IF(AND($Y726="change",$H726="EUR"),IF(AND($AA726="Crédit",$O726=$O727),$R727,IF(AND($AA726="Débit",$O726=$O725),$R725)),IF(OR(AND(OR($E726&lt;&gt;"",$M726=""),$N726&lt;&gt;0),$A726=""),IFERROR(INDEX(Investment!$H:$H,MATCH($E726,Investment!$F:$F,0))),IFERROR(INDEX($R727:$R1119,MATCH(SUBSTITUTE($I726,"-","",1),$K727:$K1119,0)),INDEX($R727:$R1119,MATCH($K726,$K727:$K1119,0)))))</f>
        <v/>
      </c>
      <c r="S726" s="35" t="str">
        <f t="shared" si="2"/>
        <v/>
      </c>
      <c r="T726" s="37" t="str">
        <f t="shared" si="3"/>
        <v/>
      </c>
      <c r="U726" s="38" t="str">
        <f t="shared" si="4"/>
        <v/>
      </c>
      <c r="V726" s="31" t="str">
        <f t="shared" si="5"/>
        <v/>
      </c>
      <c r="W726" s="39" t="str">
        <f>IFERROR(__xludf.DUMMYFUNCTION(" IF(Account!$F726&lt;&gt;"""", SPLIT(Account!$F726, "" ""), """")"),"")</f>
        <v/>
      </c>
      <c r="X726" s="40"/>
      <c r="Y726" s="40"/>
      <c r="Z726" s="40"/>
      <c r="AA726" s="40"/>
      <c r="AB726" s="40"/>
      <c r="AC726" s="40"/>
      <c r="AD726" s="40"/>
      <c r="AE726" s="40"/>
      <c r="AF726" s="40"/>
      <c r="AG726" s="40"/>
      <c r="AH726" s="40"/>
      <c r="AI726" s="40"/>
      <c r="AJ726" s="40"/>
      <c r="AK726" s="40"/>
    </row>
    <row r="727">
      <c r="A727" s="300"/>
      <c r="B727" s="300"/>
      <c r="C727" s="300"/>
      <c r="D727" s="300"/>
      <c r="E727" s="300"/>
      <c r="F727" s="329"/>
      <c r="G727" s="300"/>
      <c r="H727" s="300"/>
      <c r="I727" s="300"/>
      <c r="J727" s="300"/>
      <c r="K727" s="300"/>
      <c r="L727" s="329"/>
      <c r="M727" s="29" t="str">
        <f t="shared" si="1"/>
        <v/>
      </c>
      <c r="N727" s="31" t="str">
        <f>IFERROR(__xludf.DUMMYFUNCTION("IF(Account!$F727&lt;&gt;"""", VALUE(REGEXREPLACE($I727, ""\,"", ""."")), """")"),"")</f>
        <v/>
      </c>
      <c r="O727" s="33" t="str">
        <f>IF(Account!$F727&lt;&gt;"", DATEVALUE(MID($A727,4,3) &amp; LEFT($A727,3) &amp; RIGHT($A727,4)) + TIMEVALUE($B727), "")</f>
        <v/>
      </c>
      <c r="P727" s="34" t="str">
        <f>IF(Account!$F727&lt;&gt;"", DATEVALUE(MID($C727,4,3) &amp; LEFT($C727,3) &amp; RIGHT($C727,4)), "")</f>
        <v/>
      </c>
      <c r="Q727" s="35" t="str">
        <f t="array" ref="Q727">IF($R727&lt;&gt;"",IFERROR(INDEX(Investment!$A:$A,MATCH($R727,Investment!$H:$H,0))),)</f>
        <v/>
      </c>
      <c r="R727" s="36" t="str">
        <f t="array" ref="R727">IF(AND($Y727="change",$H727="EUR"),IF(AND($AA727="Crédit",$O727=$O728),$R728,IF(AND($AA727="Débit",$O727=$O726),$R726)),IF(OR(AND(OR($E727&lt;&gt;"",$M727=""),$N727&lt;&gt;0),$A727=""),IFERROR(INDEX(Investment!$H:$H,MATCH($E727,Investment!$F:$F,0))),IFERROR(INDEX($R728:$R1119,MATCH(SUBSTITUTE($I727,"-","",1),$K728:$K1119,0)),INDEX($R728:$R1119,MATCH($K727,$K728:$K1119,0)))))</f>
        <v/>
      </c>
      <c r="S727" s="35" t="str">
        <f t="shared" si="2"/>
        <v/>
      </c>
      <c r="T727" s="37" t="str">
        <f t="shared" si="3"/>
        <v/>
      </c>
      <c r="U727" s="38" t="str">
        <f t="shared" si="4"/>
        <v/>
      </c>
      <c r="V727" s="31" t="str">
        <f t="shared" si="5"/>
        <v/>
      </c>
      <c r="W727" s="39" t="str">
        <f>IFERROR(__xludf.DUMMYFUNCTION(" IF(Account!$F727&lt;&gt;"""", SPLIT(Account!$F727, "" ""), """")"),"")</f>
        <v/>
      </c>
      <c r="X727" s="40"/>
      <c r="Y727" s="40"/>
      <c r="Z727" s="40"/>
      <c r="AA727" s="40"/>
      <c r="AB727" s="40"/>
      <c r="AC727" s="40"/>
      <c r="AD727" s="40"/>
      <c r="AE727" s="40"/>
      <c r="AF727" s="40"/>
      <c r="AG727" s="40"/>
      <c r="AH727" s="40"/>
      <c r="AI727" s="40"/>
      <c r="AJ727" s="40"/>
      <c r="AK727" s="40"/>
    </row>
    <row r="728">
      <c r="A728" s="300"/>
      <c r="B728" s="300"/>
      <c r="C728" s="300"/>
      <c r="D728" s="300"/>
      <c r="E728" s="300"/>
      <c r="F728" s="329"/>
      <c r="G728" s="300"/>
      <c r="H728" s="300"/>
      <c r="I728" s="300"/>
      <c r="J728" s="300"/>
      <c r="K728" s="300"/>
      <c r="L728" s="329"/>
      <c r="M728" s="29" t="str">
        <f t="shared" si="1"/>
        <v/>
      </c>
      <c r="N728" s="31" t="str">
        <f>IFERROR(__xludf.DUMMYFUNCTION("IF(Account!$F728&lt;&gt;"""", VALUE(REGEXREPLACE($I728, ""\,"", ""."")), """")"),"")</f>
        <v/>
      </c>
      <c r="O728" s="33" t="str">
        <f>IF(Account!$F728&lt;&gt;"", DATEVALUE(MID($A728,4,3) &amp; LEFT($A728,3) &amp; RIGHT($A728,4)) + TIMEVALUE($B728), "")</f>
        <v/>
      </c>
      <c r="P728" s="34" t="str">
        <f>IF(Account!$F728&lt;&gt;"", DATEVALUE(MID($C728,4,3) &amp; LEFT($C728,3) &amp; RIGHT($C728,4)), "")</f>
        <v/>
      </c>
      <c r="Q728" s="35" t="str">
        <f t="array" ref="Q728">IF($R728&lt;&gt;"",IFERROR(INDEX(Investment!$A:$A,MATCH($R728,Investment!$H:$H,0))),)</f>
        <v/>
      </c>
      <c r="R728" s="36" t="str">
        <f t="array" ref="R728">IF(AND($Y728="change",$H728="EUR"),IF(AND($AA728="Crédit",$O728=$O729),$R729,IF(AND($AA728="Débit",$O728=$O727),$R727)),IF(OR(AND(OR($E728&lt;&gt;"",$M728=""),$N728&lt;&gt;0),$A728=""),IFERROR(INDEX(Investment!$H:$H,MATCH($E728,Investment!$F:$F,0))),IFERROR(INDEX($R729:$R1119,MATCH(SUBSTITUTE($I728,"-","",1),$K729:$K1119,0)),INDEX($R729:$R1119,MATCH($K728,$K729:$K1119,0)))))</f>
        <v/>
      </c>
      <c r="S728" s="35" t="str">
        <f t="shared" si="2"/>
        <v/>
      </c>
      <c r="T728" s="37" t="str">
        <f t="shared" si="3"/>
        <v/>
      </c>
      <c r="U728" s="38" t="str">
        <f t="shared" si="4"/>
        <v/>
      </c>
      <c r="V728" s="31" t="str">
        <f t="shared" si="5"/>
        <v/>
      </c>
      <c r="W728" s="39" t="str">
        <f>IFERROR(__xludf.DUMMYFUNCTION(" IF(Account!$F728&lt;&gt;"""", SPLIT(Account!$F728, "" ""), """")"),"")</f>
        <v/>
      </c>
      <c r="X728" s="40"/>
      <c r="Y728" s="40"/>
      <c r="Z728" s="40"/>
      <c r="AA728" s="40"/>
      <c r="AB728" s="40"/>
      <c r="AC728" s="40"/>
      <c r="AD728" s="40"/>
      <c r="AE728" s="40"/>
      <c r="AF728" s="40"/>
      <c r="AG728" s="40"/>
      <c r="AH728" s="40"/>
      <c r="AI728" s="40"/>
      <c r="AJ728" s="40"/>
      <c r="AK728" s="40"/>
    </row>
    <row r="729">
      <c r="A729" s="300"/>
      <c r="B729" s="300"/>
      <c r="C729" s="300"/>
      <c r="D729" s="300"/>
      <c r="E729" s="300"/>
      <c r="F729" s="329"/>
      <c r="G729" s="300"/>
      <c r="H729" s="300"/>
      <c r="I729" s="300"/>
      <c r="J729" s="300"/>
      <c r="K729" s="300"/>
      <c r="L729" s="329"/>
      <c r="M729" s="29" t="str">
        <f t="shared" si="1"/>
        <v/>
      </c>
      <c r="N729" s="31" t="str">
        <f>IFERROR(__xludf.DUMMYFUNCTION("IF(Account!$F729&lt;&gt;"""", VALUE(REGEXREPLACE($I729, ""\,"", ""."")), """")"),"")</f>
        <v/>
      </c>
      <c r="O729" s="33" t="str">
        <f>IF(Account!$F729&lt;&gt;"", DATEVALUE(MID($A729,4,3) &amp; LEFT($A729,3) &amp; RIGHT($A729,4)) + TIMEVALUE($B729), "")</f>
        <v/>
      </c>
      <c r="P729" s="34" t="str">
        <f>IF(Account!$F729&lt;&gt;"", DATEVALUE(MID($C729,4,3) &amp; LEFT($C729,3) &amp; RIGHT($C729,4)), "")</f>
        <v/>
      </c>
      <c r="Q729" s="35" t="str">
        <f t="array" ref="Q729">IF($R729&lt;&gt;"",IFERROR(INDEX(Investment!$A:$A,MATCH($R729,Investment!$H:$H,0))),)</f>
        <v/>
      </c>
      <c r="R729" s="36" t="str">
        <f t="array" ref="R729">IF(AND($Y729="change",$H729="EUR"),IF(AND($AA729="Crédit",$O729=$O730),$R730,IF(AND($AA729="Débit",$O729=$O728),$R728)),IF(OR(AND(OR($E729&lt;&gt;"",$M729=""),$N729&lt;&gt;0),$A729=""),IFERROR(INDEX(Investment!$H:$H,MATCH($E729,Investment!$F:$F,0))),IFERROR(INDEX($R730:$R1119,MATCH(SUBSTITUTE($I729,"-","",1),$K730:$K1119,0)),INDEX($R730:$R1119,MATCH($K729,$K730:$K1119,0)))))</f>
        <v/>
      </c>
      <c r="S729" s="35" t="str">
        <f t="shared" si="2"/>
        <v/>
      </c>
      <c r="T729" s="37" t="str">
        <f t="shared" si="3"/>
        <v/>
      </c>
      <c r="U729" s="38" t="str">
        <f t="shared" si="4"/>
        <v/>
      </c>
      <c r="V729" s="31" t="str">
        <f t="shared" si="5"/>
        <v/>
      </c>
      <c r="W729" s="39" t="str">
        <f>IFERROR(__xludf.DUMMYFUNCTION(" IF(Account!$F729&lt;&gt;"""", SPLIT(Account!$F729, "" ""), """")"),"")</f>
        <v/>
      </c>
      <c r="X729" s="40"/>
      <c r="Y729" s="40"/>
      <c r="Z729" s="40"/>
      <c r="AA729" s="40"/>
      <c r="AB729" s="40"/>
      <c r="AC729" s="40"/>
      <c r="AD729" s="40"/>
      <c r="AE729" s="40"/>
      <c r="AF729" s="40"/>
      <c r="AG729" s="40"/>
      <c r="AH729" s="40"/>
      <c r="AI729" s="40"/>
      <c r="AJ729" s="40"/>
      <c r="AK729" s="40"/>
    </row>
    <row r="730">
      <c r="A730" s="300"/>
      <c r="B730" s="300"/>
      <c r="C730" s="300"/>
      <c r="D730" s="300"/>
      <c r="E730" s="300"/>
      <c r="F730" s="329"/>
      <c r="G730" s="300"/>
      <c r="H730" s="300"/>
      <c r="I730" s="300"/>
      <c r="J730" s="300"/>
      <c r="K730" s="300"/>
      <c r="L730" s="329"/>
      <c r="M730" s="29" t="str">
        <f t="shared" si="1"/>
        <v/>
      </c>
      <c r="N730" s="31" t="str">
        <f>IFERROR(__xludf.DUMMYFUNCTION("IF(Account!$F730&lt;&gt;"""", VALUE(REGEXREPLACE($I730, ""\,"", ""."")), """")"),"")</f>
        <v/>
      </c>
      <c r="O730" s="33" t="str">
        <f>IF(Account!$F730&lt;&gt;"", DATEVALUE(MID($A730,4,3) &amp; LEFT($A730,3) &amp; RIGHT($A730,4)) + TIMEVALUE($B730), "")</f>
        <v/>
      </c>
      <c r="P730" s="34" t="str">
        <f>IF(Account!$F730&lt;&gt;"", DATEVALUE(MID($C730,4,3) &amp; LEFT($C730,3) &amp; RIGHT($C730,4)), "")</f>
        <v/>
      </c>
      <c r="Q730" s="35" t="str">
        <f t="array" ref="Q730">IF($R730&lt;&gt;"",IFERROR(INDEX(Investment!$A:$A,MATCH($R730,Investment!$H:$H,0))),)</f>
        <v/>
      </c>
      <c r="R730" s="36" t="str">
        <f t="array" ref="R730">IF(AND($Y730="change",$H730="EUR"),IF(AND($AA730="Crédit",$O730=$O731),$R731,IF(AND($AA730="Débit",$O730=$O729),$R729)),IF(OR(AND(OR($E730&lt;&gt;"",$M730=""),$N730&lt;&gt;0),$A730=""),IFERROR(INDEX(Investment!$H:$H,MATCH($E730,Investment!$F:$F,0))),IFERROR(INDEX($R731:$R1119,MATCH(SUBSTITUTE($I730,"-","",1),$K731:$K1119,0)),INDEX($R731:$R1119,MATCH($K730,$K731:$K1119,0)))))</f>
        <v/>
      </c>
      <c r="S730" s="35" t="str">
        <f t="shared" si="2"/>
        <v/>
      </c>
      <c r="T730" s="37" t="str">
        <f t="shared" si="3"/>
        <v/>
      </c>
      <c r="U730" s="38" t="str">
        <f t="shared" si="4"/>
        <v/>
      </c>
      <c r="V730" s="31" t="str">
        <f t="shared" si="5"/>
        <v/>
      </c>
      <c r="W730" s="39" t="str">
        <f>IFERROR(__xludf.DUMMYFUNCTION(" IF(Account!$F730&lt;&gt;"""", SPLIT(Account!$F730, "" ""), """")"),"")</f>
        <v/>
      </c>
      <c r="X730" s="40"/>
      <c r="Y730" s="40"/>
      <c r="Z730" s="40"/>
      <c r="AA730" s="40"/>
      <c r="AB730" s="40"/>
      <c r="AC730" s="40"/>
      <c r="AD730" s="40"/>
      <c r="AE730" s="40"/>
      <c r="AF730" s="40"/>
      <c r="AG730" s="40"/>
      <c r="AH730" s="40"/>
      <c r="AI730" s="40"/>
      <c r="AJ730" s="40"/>
      <c r="AK730" s="40"/>
    </row>
    <row r="731">
      <c r="A731" s="300"/>
      <c r="B731" s="300"/>
      <c r="C731" s="300"/>
      <c r="D731" s="300"/>
      <c r="E731" s="300"/>
      <c r="F731" s="329"/>
      <c r="G731" s="300"/>
      <c r="H731" s="300"/>
      <c r="I731" s="300"/>
      <c r="J731" s="300"/>
      <c r="K731" s="300"/>
      <c r="L731" s="329"/>
      <c r="M731" s="29" t="str">
        <f t="shared" si="1"/>
        <v/>
      </c>
      <c r="N731" s="31" t="str">
        <f>IFERROR(__xludf.DUMMYFUNCTION("IF(Account!$F731&lt;&gt;"""", VALUE(REGEXREPLACE($I731, ""\,"", ""."")), """")"),"")</f>
        <v/>
      </c>
      <c r="O731" s="33" t="str">
        <f>IF(Account!$F731&lt;&gt;"", DATEVALUE(MID($A731,4,3) &amp; LEFT($A731,3) &amp; RIGHT($A731,4)) + TIMEVALUE($B731), "")</f>
        <v/>
      </c>
      <c r="P731" s="34" t="str">
        <f>IF(Account!$F731&lt;&gt;"", DATEVALUE(MID($C731,4,3) &amp; LEFT($C731,3) &amp; RIGHT($C731,4)), "")</f>
        <v/>
      </c>
      <c r="Q731" s="35" t="str">
        <f t="array" ref="Q731">IF($R731&lt;&gt;"",IFERROR(INDEX(Investment!$A:$A,MATCH($R731,Investment!$H:$H,0))),)</f>
        <v/>
      </c>
      <c r="R731" s="36" t="str">
        <f t="array" ref="R731">IF(AND($Y731="change",$H731="EUR"),IF(AND($AA731="Crédit",$O731=$O732),$R732,IF(AND($AA731="Débit",$O731=$O730),$R730)),IF(OR(AND(OR($E731&lt;&gt;"",$M731=""),$N731&lt;&gt;0),$A731=""),IFERROR(INDEX(Investment!$H:$H,MATCH($E731,Investment!$F:$F,0))),IFERROR(INDEX($R732:$R1119,MATCH(SUBSTITUTE($I731,"-","",1),$K732:$K1119,0)),INDEX($R732:$R1119,MATCH($K731,$K732:$K1119,0)))))</f>
        <v/>
      </c>
      <c r="S731" s="35" t="str">
        <f t="shared" si="2"/>
        <v/>
      </c>
      <c r="T731" s="37" t="str">
        <f t="shared" si="3"/>
        <v/>
      </c>
      <c r="U731" s="38" t="str">
        <f t="shared" si="4"/>
        <v/>
      </c>
      <c r="V731" s="31" t="str">
        <f t="shared" si="5"/>
        <v/>
      </c>
      <c r="W731" s="39" t="str">
        <f>IFERROR(__xludf.DUMMYFUNCTION(" IF(Account!$F731&lt;&gt;"""", SPLIT(Account!$F731, "" ""), """")"),"")</f>
        <v/>
      </c>
      <c r="X731" s="40"/>
      <c r="Y731" s="40"/>
      <c r="Z731" s="40"/>
      <c r="AA731" s="40"/>
      <c r="AB731" s="40"/>
      <c r="AC731" s="40"/>
      <c r="AD731" s="40"/>
      <c r="AE731" s="40"/>
      <c r="AF731" s="40"/>
      <c r="AG731" s="40"/>
      <c r="AH731" s="40"/>
      <c r="AI731" s="40"/>
      <c r="AJ731" s="40"/>
      <c r="AK731" s="40"/>
    </row>
    <row r="732">
      <c r="A732" s="300"/>
      <c r="B732" s="300"/>
      <c r="C732" s="300"/>
      <c r="D732" s="300"/>
      <c r="E732" s="300"/>
      <c r="F732" s="329"/>
      <c r="G732" s="300"/>
      <c r="H732" s="300"/>
      <c r="I732" s="300"/>
      <c r="J732" s="300"/>
      <c r="K732" s="300"/>
      <c r="L732" s="329"/>
      <c r="M732" s="29" t="str">
        <f t="shared" si="1"/>
        <v/>
      </c>
      <c r="N732" s="31" t="str">
        <f>IFERROR(__xludf.DUMMYFUNCTION("IF(Account!$F732&lt;&gt;"""", VALUE(REGEXREPLACE($I732, ""\,"", ""."")), """")"),"")</f>
        <v/>
      </c>
      <c r="O732" s="33" t="str">
        <f>IF(Account!$F732&lt;&gt;"", DATEVALUE(MID($A732,4,3) &amp; LEFT($A732,3) &amp; RIGHT($A732,4)) + TIMEVALUE($B732), "")</f>
        <v/>
      </c>
      <c r="P732" s="34" t="str">
        <f>IF(Account!$F732&lt;&gt;"", DATEVALUE(MID($C732,4,3) &amp; LEFT($C732,3) &amp; RIGHT($C732,4)), "")</f>
        <v/>
      </c>
      <c r="Q732" s="35" t="str">
        <f t="array" ref="Q732">IF($R732&lt;&gt;"",IFERROR(INDEX(Investment!$A:$A,MATCH($R732,Investment!$H:$H,0))),)</f>
        <v/>
      </c>
      <c r="R732" s="36" t="str">
        <f t="array" ref="R732">IF(AND($Y732="change",$H732="EUR"),IF(AND($AA732="Crédit",$O732=$O733),$R733,IF(AND($AA732="Débit",$O732=$O731),$R731)),IF(OR(AND(OR($E732&lt;&gt;"",$M732=""),$N732&lt;&gt;0),$A732=""),IFERROR(INDEX(Investment!$H:$H,MATCH($E732,Investment!$F:$F,0))),IFERROR(INDEX($R733:$R1119,MATCH(SUBSTITUTE($I732,"-","",1),$K733:$K1119,0)),INDEX($R733:$R1119,MATCH($K732,$K733:$K1119,0)))))</f>
        <v/>
      </c>
      <c r="S732" s="35" t="str">
        <f t="shared" si="2"/>
        <v/>
      </c>
      <c r="T732" s="37" t="str">
        <f t="shared" si="3"/>
        <v/>
      </c>
      <c r="U732" s="38" t="str">
        <f t="shared" si="4"/>
        <v/>
      </c>
      <c r="V732" s="31" t="str">
        <f t="shared" si="5"/>
        <v/>
      </c>
      <c r="W732" s="39" t="str">
        <f>IFERROR(__xludf.DUMMYFUNCTION(" IF(Account!$F732&lt;&gt;"""", SPLIT(Account!$F732, "" ""), """")"),"")</f>
        <v/>
      </c>
      <c r="X732" s="40"/>
      <c r="Y732" s="40"/>
      <c r="Z732" s="40"/>
      <c r="AA732" s="40"/>
      <c r="AB732" s="40"/>
      <c r="AC732" s="40"/>
      <c r="AD732" s="40"/>
      <c r="AE732" s="40"/>
      <c r="AF732" s="40"/>
      <c r="AG732" s="40"/>
      <c r="AH732" s="40"/>
      <c r="AI732" s="40"/>
      <c r="AJ732" s="40"/>
      <c r="AK732" s="40"/>
    </row>
    <row r="733">
      <c r="A733" s="300"/>
      <c r="B733" s="300"/>
      <c r="C733" s="300"/>
      <c r="D733" s="300"/>
      <c r="E733" s="300"/>
      <c r="F733" s="329"/>
      <c r="G733" s="300"/>
      <c r="H733" s="300"/>
      <c r="I733" s="300"/>
      <c r="J733" s="300"/>
      <c r="K733" s="300"/>
      <c r="L733" s="329"/>
      <c r="M733" s="29" t="str">
        <f t="shared" si="1"/>
        <v/>
      </c>
      <c r="N733" s="31" t="str">
        <f>IFERROR(__xludf.DUMMYFUNCTION("IF(Account!$F733&lt;&gt;"""", VALUE(REGEXREPLACE($I733, ""\,"", ""."")), """")"),"")</f>
        <v/>
      </c>
      <c r="O733" s="33" t="str">
        <f>IF(Account!$F733&lt;&gt;"", DATEVALUE(MID($A733,4,3) &amp; LEFT($A733,3) &amp; RIGHT($A733,4)) + TIMEVALUE($B733), "")</f>
        <v/>
      </c>
      <c r="P733" s="34" t="str">
        <f>IF(Account!$F733&lt;&gt;"", DATEVALUE(MID($C733,4,3) &amp; LEFT($C733,3) &amp; RIGHT($C733,4)), "")</f>
        <v/>
      </c>
      <c r="Q733" s="35" t="str">
        <f t="array" ref="Q733">IF($R733&lt;&gt;"",IFERROR(INDEX(Investment!$A:$A,MATCH($R733,Investment!$H:$H,0))),)</f>
        <v/>
      </c>
      <c r="R733" s="36" t="str">
        <f t="array" ref="R733">IF(AND($Y733="change",$H733="EUR"),IF(AND($AA733="Crédit",$O733=$O734),$R734,IF(AND($AA733="Débit",$O733=$O732),$R732)),IF(OR(AND(OR($E733&lt;&gt;"",$M733=""),$N733&lt;&gt;0),$A733=""),IFERROR(INDEX(Investment!$H:$H,MATCH($E733,Investment!$F:$F,0))),IFERROR(INDEX($R734:$R1119,MATCH(SUBSTITUTE($I733,"-","",1),$K734:$K1119,0)),INDEX($R734:$R1119,MATCH($K733,$K734:$K1119,0)))))</f>
        <v/>
      </c>
      <c r="S733" s="35" t="str">
        <f t="shared" si="2"/>
        <v/>
      </c>
      <c r="T733" s="37" t="str">
        <f t="shared" si="3"/>
        <v/>
      </c>
      <c r="U733" s="38" t="str">
        <f t="shared" si="4"/>
        <v/>
      </c>
      <c r="V733" s="31" t="str">
        <f t="shared" si="5"/>
        <v/>
      </c>
      <c r="W733" s="39" t="str">
        <f>IFERROR(__xludf.DUMMYFUNCTION(" IF(Account!$F733&lt;&gt;"""", SPLIT(Account!$F733, "" ""), """")"),"")</f>
        <v/>
      </c>
      <c r="X733" s="40"/>
      <c r="Y733" s="40"/>
      <c r="Z733" s="40"/>
      <c r="AA733" s="40"/>
      <c r="AB733" s="40"/>
      <c r="AC733" s="40"/>
      <c r="AD733" s="40"/>
      <c r="AE733" s="40"/>
      <c r="AF733" s="40"/>
      <c r="AG733" s="40"/>
      <c r="AH733" s="40"/>
      <c r="AI733" s="40"/>
      <c r="AJ733" s="40"/>
      <c r="AK733" s="40"/>
    </row>
    <row r="734">
      <c r="A734" s="300"/>
      <c r="B734" s="300"/>
      <c r="C734" s="300"/>
      <c r="D734" s="300"/>
      <c r="E734" s="300"/>
      <c r="F734" s="329"/>
      <c r="G734" s="300"/>
      <c r="H734" s="300"/>
      <c r="I734" s="300"/>
      <c r="J734" s="300"/>
      <c r="K734" s="300"/>
      <c r="L734" s="329"/>
      <c r="M734" s="29" t="str">
        <f t="shared" si="1"/>
        <v/>
      </c>
      <c r="N734" s="31" t="str">
        <f>IFERROR(__xludf.DUMMYFUNCTION("IF(Account!$F734&lt;&gt;"""", VALUE(REGEXREPLACE($I734, ""\,"", ""."")), """")"),"")</f>
        <v/>
      </c>
      <c r="O734" s="33" t="str">
        <f>IF(Account!$F734&lt;&gt;"", DATEVALUE(MID($A734,4,3) &amp; LEFT($A734,3) &amp; RIGHT($A734,4)) + TIMEVALUE($B734), "")</f>
        <v/>
      </c>
      <c r="P734" s="34" t="str">
        <f>IF(Account!$F734&lt;&gt;"", DATEVALUE(MID($C734,4,3) &amp; LEFT($C734,3) &amp; RIGHT($C734,4)), "")</f>
        <v/>
      </c>
      <c r="Q734" s="35" t="str">
        <f t="array" ref="Q734">IF($R734&lt;&gt;"",IFERROR(INDEX(Investment!$A:$A,MATCH($R734,Investment!$H:$H,0))),)</f>
        <v/>
      </c>
      <c r="R734" s="36" t="str">
        <f t="array" ref="R734">IF(AND($Y734="change",$H734="EUR"),IF(AND($AA734="Crédit",$O734=$O735),$R735,IF(AND($AA734="Débit",$O734=$O733),$R733)),IF(OR(AND(OR($E734&lt;&gt;"",$M734=""),$N734&lt;&gt;0),$A734=""),IFERROR(INDEX(Investment!$H:$H,MATCH($E734,Investment!$F:$F,0))),IFERROR(INDEX($R735:$R1119,MATCH(SUBSTITUTE($I734,"-","",1),$K735:$K1119,0)),INDEX($R735:$R1119,MATCH($K734,$K735:$K1119,0)))))</f>
        <v/>
      </c>
      <c r="S734" s="35" t="str">
        <f t="shared" si="2"/>
        <v/>
      </c>
      <c r="T734" s="37" t="str">
        <f t="shared" si="3"/>
        <v/>
      </c>
      <c r="U734" s="38" t="str">
        <f t="shared" si="4"/>
        <v/>
      </c>
      <c r="V734" s="31" t="str">
        <f t="shared" si="5"/>
        <v/>
      </c>
      <c r="W734" s="39" t="str">
        <f>IFERROR(__xludf.DUMMYFUNCTION(" IF(Account!$F734&lt;&gt;"""", SPLIT(Account!$F734, "" ""), """")"),"")</f>
        <v/>
      </c>
      <c r="X734" s="40"/>
      <c r="Y734" s="40"/>
      <c r="Z734" s="40"/>
      <c r="AA734" s="40"/>
      <c r="AB734" s="40"/>
      <c r="AC734" s="40"/>
      <c r="AD734" s="40"/>
      <c r="AE734" s="40"/>
      <c r="AF734" s="40"/>
      <c r="AG734" s="40"/>
      <c r="AH734" s="40"/>
      <c r="AI734" s="40"/>
      <c r="AJ734" s="40"/>
      <c r="AK734" s="40"/>
    </row>
    <row r="735">
      <c r="A735" s="300"/>
      <c r="B735" s="300"/>
      <c r="C735" s="300"/>
      <c r="D735" s="300"/>
      <c r="E735" s="300"/>
      <c r="F735" s="329"/>
      <c r="G735" s="300"/>
      <c r="H735" s="300"/>
      <c r="I735" s="300"/>
      <c r="J735" s="300"/>
      <c r="K735" s="300"/>
      <c r="L735" s="329"/>
      <c r="M735" s="29" t="str">
        <f t="shared" si="1"/>
        <v/>
      </c>
      <c r="N735" s="31" t="str">
        <f>IFERROR(__xludf.DUMMYFUNCTION("IF(Account!$F735&lt;&gt;"""", VALUE(REGEXREPLACE($I735, ""\,"", ""."")), """")"),"")</f>
        <v/>
      </c>
      <c r="O735" s="33" t="str">
        <f>IF(Account!$F735&lt;&gt;"", DATEVALUE(MID($A735,4,3) &amp; LEFT($A735,3) &amp; RIGHT($A735,4)) + TIMEVALUE($B735), "")</f>
        <v/>
      </c>
      <c r="P735" s="34" t="str">
        <f>IF(Account!$F735&lt;&gt;"", DATEVALUE(MID($C735,4,3) &amp; LEFT($C735,3) &amp; RIGHT($C735,4)), "")</f>
        <v/>
      </c>
      <c r="Q735" s="35" t="str">
        <f t="array" ref="Q735">IF($R735&lt;&gt;"",IFERROR(INDEX(Investment!$A:$A,MATCH($R735,Investment!$H:$H,0))),)</f>
        <v/>
      </c>
      <c r="R735" s="36" t="str">
        <f t="array" ref="R735">IF(AND($Y735="change",$H735="EUR"),IF(AND($AA735="Crédit",$O735=$O736),$R736,IF(AND($AA735="Débit",$O735=$O734),$R734)),IF(OR(AND(OR($E735&lt;&gt;"",$M735=""),$N735&lt;&gt;0),$A735=""),IFERROR(INDEX(Investment!$H:$H,MATCH($E735,Investment!$F:$F,0))),IFERROR(INDEX($R736:$R1119,MATCH(SUBSTITUTE($I735,"-","",1),$K736:$K1119,0)),INDEX($R736:$R1119,MATCH($K735,$K736:$K1119,0)))))</f>
        <v/>
      </c>
      <c r="S735" s="35" t="str">
        <f t="shared" si="2"/>
        <v/>
      </c>
      <c r="T735" s="37" t="str">
        <f t="shared" si="3"/>
        <v/>
      </c>
      <c r="U735" s="38" t="str">
        <f t="shared" si="4"/>
        <v/>
      </c>
      <c r="V735" s="31" t="str">
        <f t="shared" si="5"/>
        <v/>
      </c>
      <c r="W735" s="39" t="str">
        <f>IFERROR(__xludf.DUMMYFUNCTION(" IF(Account!$F735&lt;&gt;"""", SPLIT(Account!$F735, "" ""), """")"),"")</f>
        <v/>
      </c>
      <c r="X735" s="40"/>
      <c r="Y735" s="40"/>
      <c r="Z735" s="40"/>
      <c r="AA735" s="40"/>
      <c r="AB735" s="40"/>
      <c r="AC735" s="40"/>
      <c r="AD735" s="40"/>
      <c r="AE735" s="40"/>
      <c r="AF735" s="40"/>
      <c r="AG735" s="40"/>
      <c r="AH735" s="40"/>
      <c r="AI735" s="40"/>
      <c r="AJ735" s="40"/>
      <c r="AK735" s="40"/>
    </row>
    <row r="736">
      <c r="A736" s="300"/>
      <c r="B736" s="300"/>
      <c r="C736" s="300"/>
      <c r="D736" s="300"/>
      <c r="E736" s="300"/>
      <c r="F736" s="329"/>
      <c r="G736" s="300"/>
      <c r="H736" s="300"/>
      <c r="I736" s="300"/>
      <c r="J736" s="300"/>
      <c r="K736" s="300"/>
      <c r="L736" s="329"/>
      <c r="M736" s="29" t="str">
        <f t="shared" si="1"/>
        <v/>
      </c>
      <c r="N736" s="31" t="str">
        <f>IFERROR(__xludf.DUMMYFUNCTION("IF(Account!$F736&lt;&gt;"""", VALUE(REGEXREPLACE($I736, ""\,"", ""."")), """")"),"")</f>
        <v/>
      </c>
      <c r="O736" s="33" t="str">
        <f>IF(Account!$F736&lt;&gt;"", DATEVALUE(MID($A736,4,3) &amp; LEFT($A736,3) &amp; RIGHT($A736,4)) + TIMEVALUE($B736), "")</f>
        <v/>
      </c>
      <c r="P736" s="34" t="str">
        <f>IF(Account!$F736&lt;&gt;"", DATEVALUE(MID($C736,4,3) &amp; LEFT($C736,3) &amp; RIGHT($C736,4)), "")</f>
        <v/>
      </c>
      <c r="Q736" s="35" t="str">
        <f t="array" ref="Q736">IF($R736&lt;&gt;"",IFERROR(INDEX(Investment!$A:$A,MATCH($R736,Investment!$H:$H,0))),)</f>
        <v/>
      </c>
      <c r="R736" s="36" t="str">
        <f t="array" ref="R736">IF(AND($Y736="change",$H736="EUR"),IF(AND($AA736="Crédit",$O736=$O737),$R737,IF(AND($AA736="Débit",$O736=$O735),$R735)),IF(OR(AND(OR($E736&lt;&gt;"",$M736=""),$N736&lt;&gt;0),$A736=""),IFERROR(INDEX(Investment!$H:$H,MATCH($E736,Investment!$F:$F,0))),IFERROR(INDEX($R737:$R1119,MATCH(SUBSTITUTE($I736,"-","",1),$K737:$K1119,0)),INDEX($R737:$R1119,MATCH($K736,$K737:$K1119,0)))))</f>
        <v/>
      </c>
      <c r="S736" s="35" t="str">
        <f t="shared" si="2"/>
        <v/>
      </c>
      <c r="T736" s="37" t="str">
        <f t="shared" si="3"/>
        <v/>
      </c>
      <c r="U736" s="38" t="str">
        <f t="shared" si="4"/>
        <v/>
      </c>
      <c r="V736" s="31" t="str">
        <f t="shared" si="5"/>
        <v/>
      </c>
      <c r="W736" s="39" t="str">
        <f>IFERROR(__xludf.DUMMYFUNCTION(" IF(Account!$F736&lt;&gt;"""", SPLIT(Account!$F736, "" ""), """")"),"")</f>
        <v/>
      </c>
      <c r="X736" s="40"/>
      <c r="Y736" s="40"/>
      <c r="Z736" s="40"/>
      <c r="AA736" s="40"/>
      <c r="AB736" s="40"/>
      <c r="AC736" s="40"/>
      <c r="AD736" s="40"/>
      <c r="AE736" s="40"/>
      <c r="AF736" s="40"/>
      <c r="AG736" s="40"/>
      <c r="AH736" s="40"/>
      <c r="AI736" s="40"/>
      <c r="AJ736" s="40"/>
      <c r="AK736" s="40"/>
    </row>
    <row r="737">
      <c r="A737" s="300"/>
      <c r="B737" s="300"/>
      <c r="C737" s="300"/>
      <c r="D737" s="300"/>
      <c r="E737" s="300"/>
      <c r="F737" s="329"/>
      <c r="G737" s="300"/>
      <c r="H737" s="300"/>
      <c r="I737" s="300"/>
      <c r="J737" s="300"/>
      <c r="K737" s="300"/>
      <c r="L737" s="329"/>
      <c r="M737" s="29" t="str">
        <f t="shared" si="1"/>
        <v/>
      </c>
      <c r="N737" s="31" t="str">
        <f>IFERROR(__xludf.DUMMYFUNCTION("IF(Account!$F737&lt;&gt;"""", VALUE(REGEXREPLACE($I737, ""\,"", ""."")), """")"),"")</f>
        <v/>
      </c>
      <c r="O737" s="33" t="str">
        <f>IF(Account!$F737&lt;&gt;"", DATEVALUE(MID($A737,4,3) &amp; LEFT($A737,3) &amp; RIGHT($A737,4)) + TIMEVALUE($B737), "")</f>
        <v/>
      </c>
      <c r="P737" s="34" t="str">
        <f>IF(Account!$F737&lt;&gt;"", DATEVALUE(MID($C737,4,3) &amp; LEFT($C737,3) &amp; RIGHT($C737,4)), "")</f>
        <v/>
      </c>
      <c r="Q737" s="35" t="str">
        <f t="array" ref="Q737">IF($R737&lt;&gt;"",IFERROR(INDEX(Investment!$A:$A,MATCH($R737,Investment!$H:$H,0))),)</f>
        <v/>
      </c>
      <c r="R737" s="36" t="str">
        <f t="array" ref="R737">IF(AND($Y737="change",$H737="EUR"),IF(AND($AA737="Crédit",$O737=$O738),$R738,IF(AND($AA737="Débit",$O737=$O736),$R736)),IF(OR(AND(OR($E737&lt;&gt;"",$M737=""),$N737&lt;&gt;0),$A737=""),IFERROR(INDEX(Investment!$H:$H,MATCH($E737,Investment!$F:$F,0))),IFERROR(INDEX($R738:$R1119,MATCH(SUBSTITUTE($I737,"-","",1),$K738:$K1119,0)),INDEX($R738:$R1119,MATCH($K737,$K738:$K1119,0)))))</f>
        <v/>
      </c>
      <c r="S737" s="35" t="str">
        <f t="shared" si="2"/>
        <v/>
      </c>
      <c r="T737" s="37" t="str">
        <f t="shared" si="3"/>
        <v/>
      </c>
      <c r="U737" s="38" t="str">
        <f t="shared" si="4"/>
        <v/>
      </c>
      <c r="V737" s="31" t="str">
        <f t="shared" si="5"/>
        <v/>
      </c>
      <c r="W737" s="39" t="str">
        <f>IFERROR(__xludf.DUMMYFUNCTION(" IF(Account!$F737&lt;&gt;"""", SPLIT(Account!$F737, "" ""), """")"),"")</f>
        <v/>
      </c>
      <c r="X737" s="40"/>
      <c r="Y737" s="40"/>
      <c r="Z737" s="40"/>
      <c r="AA737" s="40"/>
      <c r="AB737" s="40"/>
      <c r="AC737" s="40"/>
      <c r="AD737" s="40"/>
      <c r="AE737" s="40"/>
      <c r="AF737" s="40"/>
      <c r="AG737" s="40"/>
      <c r="AH737" s="40"/>
      <c r="AI737" s="40"/>
      <c r="AJ737" s="40"/>
      <c r="AK737" s="40"/>
    </row>
    <row r="738">
      <c r="A738" s="300"/>
      <c r="B738" s="300"/>
      <c r="C738" s="300"/>
      <c r="D738" s="300"/>
      <c r="E738" s="300"/>
      <c r="F738" s="329"/>
      <c r="G738" s="300"/>
      <c r="H738" s="300"/>
      <c r="I738" s="300"/>
      <c r="J738" s="300"/>
      <c r="K738" s="300"/>
      <c r="L738" s="329"/>
      <c r="M738" s="29" t="str">
        <f t="shared" si="1"/>
        <v/>
      </c>
      <c r="N738" s="31" t="str">
        <f>IFERROR(__xludf.DUMMYFUNCTION("IF(Account!$F738&lt;&gt;"""", VALUE(REGEXREPLACE($I738, ""\,"", ""."")), """")"),"")</f>
        <v/>
      </c>
      <c r="O738" s="33" t="str">
        <f>IF(Account!$F738&lt;&gt;"", DATEVALUE(MID($A738,4,3) &amp; LEFT($A738,3) &amp; RIGHT($A738,4)) + TIMEVALUE($B738), "")</f>
        <v/>
      </c>
      <c r="P738" s="34" t="str">
        <f>IF(Account!$F738&lt;&gt;"", DATEVALUE(MID($C738,4,3) &amp; LEFT($C738,3) &amp; RIGHT($C738,4)), "")</f>
        <v/>
      </c>
      <c r="Q738" s="35" t="str">
        <f t="array" ref="Q738">IF($R738&lt;&gt;"",IFERROR(INDEX(Investment!$A:$A,MATCH($R738,Investment!$H:$H,0))),)</f>
        <v/>
      </c>
      <c r="R738" s="36" t="str">
        <f t="array" ref="R738">IF(AND($Y738="change",$H738="EUR"),IF(AND($AA738="Crédit",$O738=$O739),$R739,IF(AND($AA738="Débit",$O738=$O737),$R737)),IF(OR(AND(OR($E738&lt;&gt;"",$M738=""),$N738&lt;&gt;0),$A738=""),IFERROR(INDEX(Investment!$H:$H,MATCH($E738,Investment!$F:$F,0))),IFERROR(INDEX($R739:$R1119,MATCH(SUBSTITUTE($I738,"-","",1),$K739:$K1119,0)),INDEX($R739:$R1119,MATCH($K738,$K739:$K1119,0)))))</f>
        <v/>
      </c>
      <c r="S738" s="35" t="str">
        <f t="shared" si="2"/>
        <v/>
      </c>
      <c r="T738" s="37" t="str">
        <f t="shared" si="3"/>
        <v/>
      </c>
      <c r="U738" s="38" t="str">
        <f t="shared" si="4"/>
        <v/>
      </c>
      <c r="V738" s="31" t="str">
        <f t="shared" si="5"/>
        <v/>
      </c>
      <c r="W738" s="39" t="str">
        <f>IFERROR(__xludf.DUMMYFUNCTION(" IF(Account!$F738&lt;&gt;"""", SPLIT(Account!$F738, "" ""), """")"),"")</f>
        <v/>
      </c>
      <c r="X738" s="40"/>
      <c r="Y738" s="40"/>
      <c r="Z738" s="40"/>
      <c r="AA738" s="40"/>
      <c r="AB738" s="40"/>
      <c r="AC738" s="40"/>
      <c r="AD738" s="40"/>
      <c r="AE738" s="40"/>
      <c r="AF738" s="40"/>
      <c r="AG738" s="40"/>
      <c r="AH738" s="40"/>
      <c r="AI738" s="40"/>
      <c r="AJ738" s="40"/>
      <c r="AK738" s="40"/>
    </row>
    <row r="739">
      <c r="A739" s="300"/>
      <c r="B739" s="300"/>
      <c r="C739" s="300"/>
      <c r="D739" s="300"/>
      <c r="E739" s="300"/>
      <c r="F739" s="329"/>
      <c r="G739" s="300"/>
      <c r="H739" s="300"/>
      <c r="I739" s="300"/>
      <c r="J739" s="300"/>
      <c r="K739" s="300"/>
      <c r="L739" s="329"/>
      <c r="M739" s="29" t="str">
        <f t="shared" si="1"/>
        <v/>
      </c>
      <c r="N739" s="31" t="str">
        <f>IFERROR(__xludf.DUMMYFUNCTION("IF(Account!$F739&lt;&gt;"""", VALUE(REGEXREPLACE($I739, ""\,"", ""."")), """")"),"")</f>
        <v/>
      </c>
      <c r="O739" s="33" t="str">
        <f>IF(Account!$F739&lt;&gt;"", DATEVALUE(MID($A739,4,3) &amp; LEFT($A739,3) &amp; RIGHT($A739,4)) + TIMEVALUE($B739), "")</f>
        <v/>
      </c>
      <c r="P739" s="34" t="str">
        <f>IF(Account!$F739&lt;&gt;"", DATEVALUE(MID($C739,4,3) &amp; LEFT($C739,3) &amp; RIGHT($C739,4)), "")</f>
        <v/>
      </c>
      <c r="Q739" s="35" t="str">
        <f t="array" ref="Q739">IF($R739&lt;&gt;"",IFERROR(INDEX(Investment!$A:$A,MATCH($R739,Investment!$H:$H,0))),)</f>
        <v/>
      </c>
      <c r="R739" s="36" t="str">
        <f t="array" ref="R739">IF(AND($Y739="change",$H739="EUR"),IF(AND($AA739="Crédit",$O739=$O740),$R740,IF(AND($AA739="Débit",$O739=$O738),$R738)),IF(OR(AND(OR($E739&lt;&gt;"",$M739=""),$N739&lt;&gt;0),$A739=""),IFERROR(INDEX(Investment!$H:$H,MATCH($E739,Investment!$F:$F,0))),IFERROR(INDEX($R740:$R1119,MATCH(SUBSTITUTE($I739,"-","",1),$K740:$K1119,0)),INDEX($R740:$R1119,MATCH($K739,$K740:$K1119,0)))))</f>
        <v/>
      </c>
      <c r="S739" s="35" t="str">
        <f t="shared" si="2"/>
        <v/>
      </c>
      <c r="T739" s="37" t="str">
        <f t="shared" si="3"/>
        <v/>
      </c>
      <c r="U739" s="38" t="str">
        <f t="shared" si="4"/>
        <v/>
      </c>
      <c r="V739" s="31" t="str">
        <f t="shared" si="5"/>
        <v/>
      </c>
      <c r="W739" s="39" t="str">
        <f>IFERROR(__xludf.DUMMYFUNCTION(" IF(Account!$F739&lt;&gt;"""", SPLIT(Account!$F739, "" ""), """")"),"")</f>
        <v/>
      </c>
      <c r="X739" s="40"/>
      <c r="Y739" s="40"/>
      <c r="Z739" s="40"/>
      <c r="AA739" s="40"/>
      <c r="AB739" s="40"/>
      <c r="AC739" s="40"/>
      <c r="AD739" s="40"/>
      <c r="AE739" s="40"/>
      <c r="AF739" s="40"/>
      <c r="AG739" s="40"/>
      <c r="AH739" s="40"/>
      <c r="AI739" s="40"/>
      <c r="AJ739" s="40"/>
      <c r="AK739" s="40"/>
    </row>
    <row r="740">
      <c r="A740" s="300"/>
      <c r="B740" s="300"/>
      <c r="C740" s="300"/>
      <c r="D740" s="300"/>
      <c r="E740" s="300"/>
      <c r="F740" s="329"/>
      <c r="G740" s="300"/>
      <c r="H740" s="300"/>
      <c r="I740" s="300"/>
      <c r="J740" s="300"/>
      <c r="K740" s="300"/>
      <c r="L740" s="329"/>
      <c r="M740" s="29" t="str">
        <f t="shared" si="1"/>
        <v/>
      </c>
      <c r="N740" s="31" t="str">
        <f>IFERROR(__xludf.DUMMYFUNCTION("IF(Account!$F740&lt;&gt;"""", VALUE(REGEXREPLACE($I740, ""\,"", ""."")), """")"),"")</f>
        <v/>
      </c>
      <c r="O740" s="33" t="str">
        <f>IF(Account!$F740&lt;&gt;"", DATEVALUE(MID($A740,4,3) &amp; LEFT($A740,3) &amp; RIGHT($A740,4)) + TIMEVALUE($B740), "")</f>
        <v/>
      </c>
      <c r="P740" s="34" t="str">
        <f>IF(Account!$F740&lt;&gt;"", DATEVALUE(MID($C740,4,3) &amp; LEFT($C740,3) &amp; RIGHT($C740,4)), "")</f>
        <v/>
      </c>
      <c r="Q740" s="35" t="str">
        <f t="array" ref="Q740">IF($R740&lt;&gt;"",IFERROR(INDEX(Investment!$A:$A,MATCH($R740,Investment!$H:$H,0))),)</f>
        <v/>
      </c>
      <c r="R740" s="36" t="str">
        <f t="array" ref="R740">IF(AND($Y740="change",$H740="EUR"),IF(AND($AA740="Crédit",$O740=$O741),$R741,IF(AND($AA740="Débit",$O740=$O739),$R739)),IF(OR(AND(OR($E740&lt;&gt;"",$M740=""),$N740&lt;&gt;0),$A740=""),IFERROR(INDEX(Investment!$H:$H,MATCH($E740,Investment!$F:$F,0))),IFERROR(INDEX($R741:$R1119,MATCH(SUBSTITUTE($I740,"-","",1),$K741:$K1119,0)),INDEX($R741:$R1119,MATCH($K740,$K741:$K1119,0)))))</f>
        <v/>
      </c>
      <c r="S740" s="35" t="str">
        <f t="shared" si="2"/>
        <v/>
      </c>
      <c r="T740" s="37" t="str">
        <f t="shared" si="3"/>
        <v/>
      </c>
      <c r="U740" s="38" t="str">
        <f t="shared" si="4"/>
        <v/>
      </c>
      <c r="V740" s="31" t="str">
        <f t="shared" si="5"/>
        <v/>
      </c>
      <c r="W740" s="39" t="str">
        <f>IFERROR(__xludf.DUMMYFUNCTION(" IF(Account!$F740&lt;&gt;"""", SPLIT(Account!$F740, "" ""), """")"),"")</f>
        <v/>
      </c>
      <c r="X740" s="40"/>
      <c r="Y740" s="40"/>
      <c r="Z740" s="40"/>
      <c r="AA740" s="40"/>
      <c r="AB740" s="40"/>
      <c r="AC740" s="40"/>
      <c r="AD740" s="40"/>
      <c r="AE740" s="40"/>
      <c r="AF740" s="40"/>
      <c r="AG740" s="40"/>
      <c r="AH740" s="40"/>
      <c r="AI740" s="40"/>
      <c r="AJ740" s="40"/>
      <c r="AK740" s="40"/>
    </row>
    <row r="741">
      <c r="A741" s="300"/>
      <c r="B741" s="300"/>
      <c r="C741" s="300"/>
      <c r="D741" s="300"/>
      <c r="E741" s="300"/>
      <c r="F741" s="329"/>
      <c r="G741" s="300"/>
      <c r="H741" s="300"/>
      <c r="I741" s="300"/>
      <c r="J741" s="300"/>
      <c r="K741" s="300"/>
      <c r="L741" s="329"/>
      <c r="M741" s="29" t="str">
        <f t="shared" si="1"/>
        <v/>
      </c>
      <c r="N741" s="31" t="str">
        <f>IFERROR(__xludf.DUMMYFUNCTION("IF(Account!$F741&lt;&gt;"""", VALUE(REGEXREPLACE($I741, ""\,"", ""."")), """")"),"")</f>
        <v/>
      </c>
      <c r="O741" s="33" t="str">
        <f>IF(Account!$F741&lt;&gt;"", DATEVALUE(MID($A741,4,3) &amp; LEFT($A741,3) &amp; RIGHT($A741,4)) + TIMEVALUE($B741), "")</f>
        <v/>
      </c>
      <c r="P741" s="34" t="str">
        <f>IF(Account!$F741&lt;&gt;"", DATEVALUE(MID($C741,4,3) &amp; LEFT($C741,3) &amp; RIGHT($C741,4)), "")</f>
        <v/>
      </c>
      <c r="Q741" s="35" t="str">
        <f t="array" ref="Q741">IF($R741&lt;&gt;"",IFERROR(INDEX(Investment!$A:$A,MATCH($R741,Investment!$H:$H,0))),)</f>
        <v/>
      </c>
      <c r="R741" s="36" t="str">
        <f t="array" ref="R741">IF(AND($Y741="change",$H741="EUR"),IF(AND($AA741="Crédit",$O741=$O742),$R742,IF(AND($AA741="Débit",$O741=$O740),$R740)),IF(OR(AND(OR($E741&lt;&gt;"",$M741=""),$N741&lt;&gt;0),$A741=""),IFERROR(INDEX(Investment!$H:$H,MATCH($E741,Investment!$F:$F,0))),IFERROR(INDEX($R742:$R1119,MATCH(SUBSTITUTE($I741,"-","",1),$K742:$K1119,0)),INDEX($R742:$R1119,MATCH($K741,$K742:$K1119,0)))))</f>
        <v/>
      </c>
      <c r="S741" s="35" t="str">
        <f t="shared" si="2"/>
        <v/>
      </c>
      <c r="T741" s="37" t="str">
        <f t="shared" si="3"/>
        <v/>
      </c>
      <c r="U741" s="38" t="str">
        <f t="shared" si="4"/>
        <v/>
      </c>
      <c r="V741" s="31" t="str">
        <f t="shared" si="5"/>
        <v/>
      </c>
      <c r="W741" s="39" t="str">
        <f>IFERROR(__xludf.DUMMYFUNCTION(" IF(Account!$F741&lt;&gt;"""", SPLIT(Account!$F741, "" ""), """")"),"")</f>
        <v/>
      </c>
      <c r="X741" s="40"/>
      <c r="Y741" s="40"/>
      <c r="Z741" s="40"/>
      <c r="AA741" s="40"/>
      <c r="AB741" s="40"/>
      <c r="AC741" s="40"/>
      <c r="AD741" s="40"/>
      <c r="AE741" s="40"/>
      <c r="AF741" s="40"/>
      <c r="AG741" s="40"/>
      <c r="AH741" s="40"/>
      <c r="AI741" s="40"/>
      <c r="AJ741" s="40"/>
      <c r="AK741" s="40"/>
    </row>
    <row r="742">
      <c r="A742" s="300"/>
      <c r="B742" s="300"/>
      <c r="C742" s="300"/>
      <c r="D742" s="300"/>
      <c r="E742" s="300"/>
      <c r="F742" s="329"/>
      <c r="G742" s="300"/>
      <c r="H742" s="300"/>
      <c r="I742" s="300"/>
      <c r="J742" s="300"/>
      <c r="K742" s="300"/>
      <c r="L742" s="329"/>
      <c r="M742" s="29" t="str">
        <f t="shared" si="1"/>
        <v/>
      </c>
      <c r="N742" s="31" t="str">
        <f>IFERROR(__xludf.DUMMYFUNCTION("IF(Account!$F742&lt;&gt;"""", VALUE(REGEXREPLACE($I742, ""\,"", ""."")), """")"),"")</f>
        <v/>
      </c>
      <c r="O742" s="33" t="str">
        <f>IF(Account!$F742&lt;&gt;"", DATEVALUE(MID($A742,4,3) &amp; LEFT($A742,3) &amp; RIGHT($A742,4)) + TIMEVALUE($B742), "")</f>
        <v/>
      </c>
      <c r="P742" s="34" t="str">
        <f>IF(Account!$F742&lt;&gt;"", DATEVALUE(MID($C742,4,3) &amp; LEFT($C742,3) &amp; RIGHT($C742,4)), "")</f>
        <v/>
      </c>
      <c r="Q742" s="35" t="str">
        <f t="array" ref="Q742">IF($R742&lt;&gt;"",IFERROR(INDEX(Investment!$A:$A,MATCH($R742,Investment!$H:$H,0))),)</f>
        <v/>
      </c>
      <c r="R742" s="36" t="str">
        <f t="array" ref="R742">IF(AND($Y742="change",$H742="EUR"),IF(AND($AA742="Crédit",$O742=$O743),$R743,IF(AND($AA742="Débit",$O742=$O741),$R741)),IF(OR(AND(OR($E742&lt;&gt;"",$M742=""),$N742&lt;&gt;0),$A742=""),IFERROR(INDEX(Investment!$H:$H,MATCH($E742,Investment!$F:$F,0))),IFERROR(INDEX($R743:$R1119,MATCH(SUBSTITUTE($I742,"-","",1),$K743:$K1119,0)),INDEX($R743:$R1119,MATCH($K742,$K743:$K1119,0)))))</f>
        <v/>
      </c>
      <c r="S742" s="35" t="str">
        <f t="shared" si="2"/>
        <v/>
      </c>
      <c r="T742" s="37" t="str">
        <f t="shared" si="3"/>
        <v/>
      </c>
      <c r="U742" s="38" t="str">
        <f t="shared" si="4"/>
        <v/>
      </c>
      <c r="V742" s="31" t="str">
        <f t="shared" si="5"/>
        <v/>
      </c>
      <c r="W742" s="39" t="str">
        <f>IFERROR(__xludf.DUMMYFUNCTION(" IF(Account!$F742&lt;&gt;"""", SPLIT(Account!$F742, "" ""), """")"),"")</f>
        <v/>
      </c>
      <c r="X742" s="40"/>
      <c r="Y742" s="40"/>
      <c r="Z742" s="40"/>
      <c r="AA742" s="40"/>
      <c r="AB742" s="40"/>
      <c r="AC742" s="40"/>
      <c r="AD742" s="40"/>
      <c r="AE742" s="40"/>
      <c r="AF742" s="40"/>
      <c r="AG742" s="40"/>
      <c r="AH742" s="40"/>
      <c r="AI742" s="40"/>
      <c r="AJ742" s="40"/>
      <c r="AK742" s="40"/>
    </row>
    <row r="743">
      <c r="A743" s="300"/>
      <c r="B743" s="300"/>
      <c r="C743" s="300"/>
      <c r="D743" s="300"/>
      <c r="E743" s="300"/>
      <c r="F743" s="329"/>
      <c r="G743" s="300"/>
      <c r="H743" s="300"/>
      <c r="I743" s="300"/>
      <c r="J743" s="300"/>
      <c r="K743" s="300"/>
      <c r="L743" s="329"/>
      <c r="M743" s="29" t="str">
        <f t="shared" si="1"/>
        <v/>
      </c>
      <c r="N743" s="31" t="str">
        <f>IFERROR(__xludf.DUMMYFUNCTION("IF(Account!$F743&lt;&gt;"""", VALUE(REGEXREPLACE($I743, ""\,"", ""."")), """")"),"")</f>
        <v/>
      </c>
      <c r="O743" s="33" t="str">
        <f>IF(Account!$F743&lt;&gt;"", DATEVALUE(MID($A743,4,3) &amp; LEFT($A743,3) &amp; RIGHT($A743,4)) + TIMEVALUE($B743), "")</f>
        <v/>
      </c>
      <c r="P743" s="34" t="str">
        <f>IF(Account!$F743&lt;&gt;"", DATEVALUE(MID($C743,4,3) &amp; LEFT($C743,3) &amp; RIGHT($C743,4)), "")</f>
        <v/>
      </c>
      <c r="Q743" s="35" t="str">
        <f t="array" ref="Q743">IF($R743&lt;&gt;"",IFERROR(INDEX(Investment!$A:$A,MATCH($R743,Investment!$H:$H,0))),)</f>
        <v/>
      </c>
      <c r="R743" s="36" t="str">
        <f t="array" ref="R743">IF(AND($Y743="change",$H743="EUR"),IF(AND($AA743="Crédit",$O743=$O744),$R744,IF(AND($AA743="Débit",$O743=$O742),$R742)),IF(OR(AND(OR($E743&lt;&gt;"",$M743=""),$N743&lt;&gt;0),$A743=""),IFERROR(INDEX(Investment!$H:$H,MATCH($E743,Investment!$F:$F,0))),IFERROR(INDEX($R744:$R1119,MATCH(SUBSTITUTE($I743,"-","",1),$K744:$K1119,0)),INDEX($R744:$R1119,MATCH($K743,$K744:$K1119,0)))))</f>
        <v/>
      </c>
      <c r="S743" s="35" t="str">
        <f t="shared" si="2"/>
        <v/>
      </c>
      <c r="T743" s="37" t="str">
        <f t="shared" si="3"/>
        <v/>
      </c>
      <c r="U743" s="38" t="str">
        <f t="shared" si="4"/>
        <v/>
      </c>
      <c r="V743" s="31" t="str">
        <f t="shared" si="5"/>
        <v/>
      </c>
      <c r="W743" s="39" t="str">
        <f>IFERROR(__xludf.DUMMYFUNCTION(" IF(Account!$F743&lt;&gt;"""", SPLIT(Account!$F743, "" ""), """")"),"")</f>
        <v/>
      </c>
      <c r="X743" s="40"/>
      <c r="Y743" s="40"/>
      <c r="Z743" s="40"/>
      <c r="AA743" s="40"/>
      <c r="AB743" s="40"/>
      <c r="AC743" s="40"/>
      <c r="AD743" s="40"/>
      <c r="AE743" s="40"/>
      <c r="AF743" s="40"/>
      <c r="AG743" s="40"/>
      <c r="AH743" s="40"/>
      <c r="AI743" s="40"/>
      <c r="AJ743" s="40"/>
      <c r="AK743" s="40"/>
    </row>
    <row r="744">
      <c r="A744" s="300"/>
      <c r="B744" s="300"/>
      <c r="C744" s="300"/>
      <c r="D744" s="300"/>
      <c r="E744" s="300"/>
      <c r="F744" s="329"/>
      <c r="G744" s="300"/>
      <c r="H744" s="300"/>
      <c r="I744" s="300"/>
      <c r="J744" s="300"/>
      <c r="K744" s="300"/>
      <c r="L744" s="329"/>
      <c r="M744" s="29" t="str">
        <f t="shared" si="1"/>
        <v/>
      </c>
      <c r="N744" s="31" t="str">
        <f>IFERROR(__xludf.DUMMYFUNCTION("IF(Account!$F744&lt;&gt;"""", VALUE(REGEXREPLACE($I744, ""\,"", ""."")), """")"),"")</f>
        <v/>
      </c>
      <c r="O744" s="33" t="str">
        <f>IF(Account!$F744&lt;&gt;"", DATEVALUE(MID($A744,4,3) &amp; LEFT($A744,3) &amp; RIGHT($A744,4)) + TIMEVALUE($B744), "")</f>
        <v/>
      </c>
      <c r="P744" s="34" t="str">
        <f>IF(Account!$F744&lt;&gt;"", DATEVALUE(MID($C744,4,3) &amp; LEFT($C744,3) &amp; RIGHT($C744,4)), "")</f>
        <v/>
      </c>
      <c r="Q744" s="35" t="str">
        <f t="array" ref="Q744">IF($R744&lt;&gt;"",IFERROR(INDEX(Investment!$A:$A,MATCH($R744,Investment!$H:$H,0))),)</f>
        <v/>
      </c>
      <c r="R744" s="36" t="str">
        <f t="array" ref="R744">IF(AND($Y744="change",$H744="EUR"),IF(AND($AA744="Crédit",$O744=$O745),$R745,IF(AND($AA744="Débit",$O744=$O743),$R743)),IF(OR(AND(OR($E744&lt;&gt;"",$M744=""),$N744&lt;&gt;0),$A744=""),IFERROR(INDEX(Investment!$H:$H,MATCH($E744,Investment!$F:$F,0))),IFERROR(INDEX($R745:$R1119,MATCH(SUBSTITUTE($I744,"-","",1),$K745:$K1119,0)),INDEX($R745:$R1119,MATCH($K744,$K745:$K1119,0)))))</f>
        <v/>
      </c>
      <c r="S744" s="35" t="str">
        <f t="shared" si="2"/>
        <v/>
      </c>
      <c r="T744" s="37" t="str">
        <f t="shared" si="3"/>
        <v/>
      </c>
      <c r="U744" s="38" t="str">
        <f t="shared" si="4"/>
        <v/>
      </c>
      <c r="V744" s="31" t="str">
        <f t="shared" si="5"/>
        <v/>
      </c>
      <c r="W744" s="39" t="str">
        <f>IFERROR(__xludf.DUMMYFUNCTION(" IF(Account!$F744&lt;&gt;"""", SPLIT(Account!$F744, "" ""), """")"),"")</f>
        <v/>
      </c>
      <c r="X744" s="40"/>
      <c r="Y744" s="40"/>
      <c r="Z744" s="40"/>
      <c r="AA744" s="40"/>
      <c r="AB744" s="40"/>
      <c r="AC744" s="40"/>
      <c r="AD744" s="40"/>
      <c r="AE744" s="40"/>
      <c r="AF744" s="40"/>
      <c r="AG744" s="40"/>
      <c r="AH744" s="40"/>
      <c r="AI744" s="40"/>
      <c r="AJ744" s="40"/>
      <c r="AK744" s="40"/>
    </row>
    <row r="745">
      <c r="A745" s="300"/>
      <c r="B745" s="300"/>
      <c r="C745" s="300"/>
      <c r="D745" s="300"/>
      <c r="E745" s="300"/>
      <c r="F745" s="329"/>
      <c r="G745" s="300"/>
      <c r="H745" s="300"/>
      <c r="I745" s="300"/>
      <c r="J745" s="300"/>
      <c r="K745" s="300"/>
      <c r="L745" s="329"/>
      <c r="M745" s="29" t="str">
        <f t="shared" si="1"/>
        <v/>
      </c>
      <c r="N745" s="31" t="str">
        <f>IFERROR(__xludf.DUMMYFUNCTION("IF(Account!$F745&lt;&gt;"""", VALUE(REGEXREPLACE($I745, ""\,"", ""."")), """")"),"")</f>
        <v/>
      </c>
      <c r="O745" s="33" t="str">
        <f>IF(Account!$F745&lt;&gt;"", DATEVALUE(MID($A745,4,3) &amp; LEFT($A745,3) &amp; RIGHT($A745,4)) + TIMEVALUE($B745), "")</f>
        <v/>
      </c>
      <c r="P745" s="34" t="str">
        <f>IF(Account!$F745&lt;&gt;"", DATEVALUE(MID($C745,4,3) &amp; LEFT($C745,3) &amp; RIGHT($C745,4)), "")</f>
        <v/>
      </c>
      <c r="Q745" s="35" t="str">
        <f t="array" ref="Q745">IF($R745&lt;&gt;"",IFERROR(INDEX(Investment!$A:$A,MATCH($R745,Investment!$H:$H,0))),)</f>
        <v/>
      </c>
      <c r="R745" s="36" t="str">
        <f t="array" ref="R745">IF(AND($Y745="change",$H745="EUR"),IF(AND($AA745="Crédit",$O745=$O746),$R746,IF(AND($AA745="Débit",$O745=$O744),$R744)),IF(OR(AND(OR($E745&lt;&gt;"",$M745=""),$N745&lt;&gt;0),$A745=""),IFERROR(INDEX(Investment!$H:$H,MATCH($E745,Investment!$F:$F,0))),IFERROR(INDEX($R746:$R1119,MATCH(SUBSTITUTE($I745,"-","",1),$K746:$K1119,0)),INDEX($R746:$R1119,MATCH($K745,$K746:$K1119,0)))))</f>
        <v/>
      </c>
      <c r="S745" s="35" t="str">
        <f t="shared" si="2"/>
        <v/>
      </c>
      <c r="T745" s="37" t="str">
        <f t="shared" si="3"/>
        <v/>
      </c>
      <c r="U745" s="38" t="str">
        <f t="shared" si="4"/>
        <v/>
      </c>
      <c r="V745" s="31" t="str">
        <f t="shared" si="5"/>
        <v/>
      </c>
      <c r="W745" s="39" t="str">
        <f>IFERROR(__xludf.DUMMYFUNCTION(" IF(Account!$F745&lt;&gt;"""", SPLIT(Account!$F745, "" ""), """")"),"")</f>
        <v/>
      </c>
      <c r="X745" s="40"/>
      <c r="Y745" s="40"/>
      <c r="Z745" s="40"/>
      <c r="AA745" s="40"/>
      <c r="AB745" s="40"/>
      <c r="AC745" s="40"/>
      <c r="AD745" s="40"/>
      <c r="AE745" s="40"/>
      <c r="AF745" s="40"/>
      <c r="AG745" s="40"/>
      <c r="AH745" s="40"/>
      <c r="AI745" s="40"/>
      <c r="AJ745" s="40"/>
      <c r="AK745" s="40"/>
    </row>
    <row r="746">
      <c r="A746" s="300"/>
      <c r="B746" s="300"/>
      <c r="C746" s="300"/>
      <c r="D746" s="300"/>
      <c r="E746" s="300"/>
      <c r="F746" s="329"/>
      <c r="G746" s="300"/>
      <c r="H746" s="300"/>
      <c r="I746" s="300"/>
      <c r="J746" s="300"/>
      <c r="K746" s="300"/>
      <c r="L746" s="329"/>
      <c r="M746" s="29" t="str">
        <f t="shared" si="1"/>
        <v/>
      </c>
      <c r="N746" s="31" t="str">
        <f>IFERROR(__xludf.DUMMYFUNCTION("IF(Account!$F746&lt;&gt;"""", VALUE(REGEXREPLACE($I746, ""\,"", ""."")), """")"),"")</f>
        <v/>
      </c>
      <c r="O746" s="33" t="str">
        <f>IF(Account!$F746&lt;&gt;"", DATEVALUE(MID($A746,4,3) &amp; LEFT($A746,3) &amp; RIGHT($A746,4)) + TIMEVALUE($B746), "")</f>
        <v/>
      </c>
      <c r="P746" s="34" t="str">
        <f>IF(Account!$F746&lt;&gt;"", DATEVALUE(MID($C746,4,3) &amp; LEFT($C746,3) &amp; RIGHT($C746,4)), "")</f>
        <v/>
      </c>
      <c r="Q746" s="35" t="str">
        <f t="array" ref="Q746">IF($R746&lt;&gt;"",IFERROR(INDEX(Investment!$A:$A,MATCH($R746,Investment!$H:$H,0))),)</f>
        <v/>
      </c>
      <c r="R746" s="36" t="str">
        <f t="array" ref="R746">IF(AND($Y746="change",$H746="EUR"),IF(AND($AA746="Crédit",$O746=$O747),$R747,IF(AND($AA746="Débit",$O746=$O745),$R745)),IF(OR(AND(OR($E746&lt;&gt;"",$M746=""),$N746&lt;&gt;0),$A746=""),IFERROR(INDEX(Investment!$H:$H,MATCH($E746,Investment!$F:$F,0))),IFERROR(INDEX($R747:$R1119,MATCH(SUBSTITUTE($I746,"-","",1),$K747:$K1119,0)),INDEX($R747:$R1119,MATCH($K746,$K747:$K1119,0)))))</f>
        <v/>
      </c>
      <c r="S746" s="35" t="str">
        <f t="shared" si="2"/>
        <v/>
      </c>
      <c r="T746" s="37" t="str">
        <f t="shared" si="3"/>
        <v/>
      </c>
      <c r="U746" s="38" t="str">
        <f t="shared" si="4"/>
        <v/>
      </c>
      <c r="V746" s="31" t="str">
        <f t="shared" si="5"/>
        <v/>
      </c>
      <c r="W746" s="39" t="str">
        <f>IFERROR(__xludf.DUMMYFUNCTION(" IF(Account!$F746&lt;&gt;"""", SPLIT(Account!$F746, "" ""), """")"),"")</f>
        <v/>
      </c>
      <c r="X746" s="40"/>
      <c r="Y746" s="40"/>
      <c r="Z746" s="40"/>
      <c r="AA746" s="40"/>
      <c r="AB746" s="40"/>
      <c r="AC746" s="40"/>
      <c r="AD746" s="40"/>
      <c r="AE746" s="40"/>
      <c r="AF746" s="40"/>
      <c r="AG746" s="40"/>
      <c r="AH746" s="40"/>
      <c r="AI746" s="40"/>
      <c r="AJ746" s="40"/>
      <c r="AK746" s="40"/>
    </row>
    <row r="747">
      <c r="A747" s="300"/>
      <c r="B747" s="300"/>
      <c r="C747" s="300"/>
      <c r="D747" s="300"/>
      <c r="E747" s="300"/>
      <c r="F747" s="329"/>
      <c r="G747" s="300"/>
      <c r="H747" s="300"/>
      <c r="I747" s="300"/>
      <c r="J747" s="300"/>
      <c r="K747" s="300"/>
      <c r="L747" s="329"/>
      <c r="M747" s="29" t="str">
        <f t="shared" si="1"/>
        <v/>
      </c>
      <c r="N747" s="31" t="str">
        <f>IFERROR(__xludf.DUMMYFUNCTION("IF(Account!$F747&lt;&gt;"""", VALUE(REGEXREPLACE($I747, ""\,"", ""."")), """")"),"")</f>
        <v/>
      </c>
      <c r="O747" s="33" t="str">
        <f>IF(Account!$F747&lt;&gt;"", DATEVALUE(MID($A747,4,3) &amp; LEFT($A747,3) &amp; RIGHT($A747,4)) + TIMEVALUE($B747), "")</f>
        <v/>
      </c>
      <c r="P747" s="34" t="str">
        <f>IF(Account!$F747&lt;&gt;"", DATEVALUE(MID($C747,4,3) &amp; LEFT($C747,3) &amp; RIGHT($C747,4)), "")</f>
        <v/>
      </c>
      <c r="Q747" s="35" t="str">
        <f t="array" ref="Q747">IF($R747&lt;&gt;"",IFERROR(INDEX(Investment!$A:$A,MATCH($R747,Investment!$H:$H,0))),)</f>
        <v/>
      </c>
      <c r="R747" s="36" t="str">
        <f t="array" ref="R747">IF(AND($Y747="change",$H747="EUR"),IF(AND($AA747="Crédit",$O747=$O748),$R748,IF(AND($AA747="Débit",$O747=$O746),$R746)),IF(OR(AND(OR($E747&lt;&gt;"",$M747=""),$N747&lt;&gt;0),$A747=""),IFERROR(INDEX(Investment!$H:$H,MATCH($E747,Investment!$F:$F,0))),IFERROR(INDEX($R748:$R1119,MATCH(SUBSTITUTE($I747,"-","",1),$K748:$K1119,0)),INDEX($R748:$R1119,MATCH($K747,$K748:$K1119,0)))))</f>
        <v/>
      </c>
      <c r="S747" s="35" t="str">
        <f t="shared" si="2"/>
        <v/>
      </c>
      <c r="T747" s="37" t="str">
        <f t="shared" si="3"/>
        <v/>
      </c>
      <c r="U747" s="38" t="str">
        <f t="shared" si="4"/>
        <v/>
      </c>
      <c r="V747" s="31" t="str">
        <f t="shared" si="5"/>
        <v/>
      </c>
      <c r="W747" s="39" t="str">
        <f>IFERROR(__xludf.DUMMYFUNCTION(" IF(Account!$F747&lt;&gt;"""", SPLIT(Account!$F747, "" ""), """")"),"")</f>
        <v/>
      </c>
      <c r="X747" s="40"/>
      <c r="Y747" s="40"/>
      <c r="Z747" s="40"/>
      <c r="AA747" s="40"/>
      <c r="AB747" s="40"/>
      <c r="AC747" s="40"/>
      <c r="AD747" s="40"/>
      <c r="AE747" s="40"/>
      <c r="AF747" s="40"/>
      <c r="AG747" s="40"/>
      <c r="AH747" s="40"/>
      <c r="AI747" s="40"/>
      <c r="AJ747" s="40"/>
      <c r="AK747" s="40"/>
    </row>
    <row r="748">
      <c r="A748" s="300"/>
      <c r="B748" s="300"/>
      <c r="C748" s="300"/>
      <c r="D748" s="300"/>
      <c r="E748" s="300"/>
      <c r="F748" s="329"/>
      <c r="G748" s="300"/>
      <c r="H748" s="300"/>
      <c r="I748" s="300"/>
      <c r="J748" s="300"/>
      <c r="K748" s="300"/>
      <c r="L748" s="329"/>
      <c r="M748" s="29" t="str">
        <f t="shared" si="1"/>
        <v/>
      </c>
      <c r="N748" s="31" t="str">
        <f>IFERROR(__xludf.DUMMYFUNCTION("IF(Account!$F748&lt;&gt;"""", VALUE(REGEXREPLACE($I748, ""\,"", ""."")), """")"),"")</f>
        <v/>
      </c>
      <c r="O748" s="33" t="str">
        <f>IF(Account!$F748&lt;&gt;"", DATEVALUE(MID($A748,4,3) &amp; LEFT($A748,3) &amp; RIGHT($A748,4)) + TIMEVALUE($B748), "")</f>
        <v/>
      </c>
      <c r="P748" s="34" t="str">
        <f>IF(Account!$F748&lt;&gt;"", DATEVALUE(MID($C748,4,3) &amp; LEFT($C748,3) &amp; RIGHT($C748,4)), "")</f>
        <v/>
      </c>
      <c r="Q748" s="35" t="str">
        <f t="array" ref="Q748">IF($R748&lt;&gt;"",IFERROR(INDEX(Investment!$A:$A,MATCH($R748,Investment!$H:$H,0))),)</f>
        <v/>
      </c>
      <c r="R748" s="36" t="str">
        <f t="array" ref="R748">IF(AND($Y748="change",$H748="EUR"),IF(AND($AA748="Crédit",$O748=$O749),$R749,IF(AND($AA748="Débit",$O748=$O747),$R747)),IF(OR(AND(OR($E748&lt;&gt;"",$M748=""),$N748&lt;&gt;0),$A748=""),IFERROR(INDEX(Investment!$H:$H,MATCH($E748,Investment!$F:$F,0))),IFERROR(INDEX($R749:$R1119,MATCH(SUBSTITUTE($I748,"-","",1),$K749:$K1119,0)),INDEX($R749:$R1119,MATCH($K748,$K749:$K1119,0)))))</f>
        <v/>
      </c>
      <c r="S748" s="35" t="str">
        <f t="shared" si="2"/>
        <v/>
      </c>
      <c r="T748" s="37" t="str">
        <f t="shared" si="3"/>
        <v/>
      </c>
      <c r="U748" s="38" t="str">
        <f t="shared" si="4"/>
        <v/>
      </c>
      <c r="V748" s="31" t="str">
        <f t="shared" si="5"/>
        <v/>
      </c>
      <c r="W748" s="39" t="str">
        <f>IFERROR(__xludf.DUMMYFUNCTION(" IF(Account!$F748&lt;&gt;"""", SPLIT(Account!$F748, "" ""), """")"),"")</f>
        <v/>
      </c>
      <c r="X748" s="40"/>
      <c r="Y748" s="40"/>
      <c r="Z748" s="40"/>
      <c r="AA748" s="40"/>
      <c r="AB748" s="40"/>
      <c r="AC748" s="40"/>
      <c r="AD748" s="40"/>
      <c r="AE748" s="40"/>
      <c r="AF748" s="40"/>
      <c r="AG748" s="40"/>
      <c r="AH748" s="40"/>
      <c r="AI748" s="40"/>
      <c r="AJ748" s="40"/>
      <c r="AK748" s="40"/>
    </row>
    <row r="749">
      <c r="A749" s="300"/>
      <c r="B749" s="300"/>
      <c r="C749" s="300"/>
      <c r="D749" s="300"/>
      <c r="E749" s="300"/>
      <c r="F749" s="329"/>
      <c r="G749" s="300"/>
      <c r="H749" s="300"/>
      <c r="I749" s="300"/>
      <c r="J749" s="300"/>
      <c r="K749" s="300"/>
      <c r="L749" s="329"/>
      <c r="M749" s="29" t="str">
        <f t="shared" si="1"/>
        <v/>
      </c>
      <c r="N749" s="31" t="str">
        <f>IFERROR(__xludf.DUMMYFUNCTION("IF(Account!$F749&lt;&gt;"""", VALUE(REGEXREPLACE($I749, ""\,"", ""."")), """")"),"")</f>
        <v/>
      </c>
      <c r="O749" s="33" t="str">
        <f>IF(Account!$F749&lt;&gt;"", DATEVALUE(MID($A749,4,3) &amp; LEFT($A749,3) &amp; RIGHT($A749,4)) + TIMEVALUE($B749), "")</f>
        <v/>
      </c>
      <c r="P749" s="34" t="str">
        <f>IF(Account!$F749&lt;&gt;"", DATEVALUE(MID($C749,4,3) &amp; LEFT($C749,3) &amp; RIGHT($C749,4)), "")</f>
        <v/>
      </c>
      <c r="Q749" s="35" t="str">
        <f t="array" ref="Q749">IF($R749&lt;&gt;"",IFERROR(INDEX(Investment!$A:$A,MATCH($R749,Investment!$H:$H,0))),)</f>
        <v/>
      </c>
      <c r="R749" s="36" t="str">
        <f t="array" ref="R749">IF(AND($Y749="change",$H749="EUR"),IF(AND($AA749="Crédit",$O749=$O750),$R750,IF(AND($AA749="Débit",$O749=$O748),$R748)),IF(OR(AND(OR($E749&lt;&gt;"",$M749=""),$N749&lt;&gt;0),$A749=""),IFERROR(INDEX(Investment!$H:$H,MATCH($E749,Investment!$F:$F,0))),IFERROR(INDEX($R750:$R1119,MATCH(SUBSTITUTE($I749,"-","",1),$K750:$K1119,0)),INDEX($R750:$R1119,MATCH($K749,$K750:$K1119,0)))))</f>
        <v/>
      </c>
      <c r="S749" s="35" t="str">
        <f t="shared" si="2"/>
        <v/>
      </c>
      <c r="T749" s="37" t="str">
        <f t="shared" si="3"/>
        <v/>
      </c>
      <c r="U749" s="38" t="str">
        <f t="shared" si="4"/>
        <v/>
      </c>
      <c r="V749" s="31" t="str">
        <f t="shared" si="5"/>
        <v/>
      </c>
      <c r="W749" s="39" t="str">
        <f>IFERROR(__xludf.DUMMYFUNCTION(" IF(Account!$F749&lt;&gt;"""", SPLIT(Account!$F749, "" ""), """")"),"")</f>
        <v/>
      </c>
      <c r="X749" s="40"/>
      <c r="Y749" s="40"/>
      <c r="Z749" s="40"/>
      <c r="AA749" s="40"/>
      <c r="AB749" s="40"/>
      <c r="AC749" s="40"/>
      <c r="AD749" s="40"/>
      <c r="AE749" s="40"/>
      <c r="AF749" s="40"/>
      <c r="AG749" s="40"/>
      <c r="AH749" s="40"/>
      <c r="AI749" s="40"/>
      <c r="AJ749" s="40"/>
      <c r="AK749" s="40"/>
    </row>
    <row r="750">
      <c r="A750" s="300"/>
      <c r="B750" s="300"/>
      <c r="C750" s="300"/>
      <c r="D750" s="300"/>
      <c r="E750" s="300"/>
      <c r="F750" s="329"/>
      <c r="G750" s="300"/>
      <c r="H750" s="300"/>
      <c r="I750" s="300"/>
      <c r="J750" s="300"/>
      <c r="K750" s="300"/>
      <c r="L750" s="329"/>
      <c r="M750" s="29" t="str">
        <f t="shared" si="1"/>
        <v/>
      </c>
      <c r="N750" s="31" t="str">
        <f>IFERROR(__xludf.DUMMYFUNCTION("IF(Account!$F750&lt;&gt;"""", VALUE(REGEXREPLACE($I750, ""\,"", ""."")), """")"),"")</f>
        <v/>
      </c>
      <c r="O750" s="33" t="str">
        <f>IF(Account!$F750&lt;&gt;"", DATEVALUE(MID($A750,4,3) &amp; LEFT($A750,3) &amp; RIGHT($A750,4)) + TIMEVALUE($B750), "")</f>
        <v/>
      </c>
      <c r="P750" s="34" t="str">
        <f>IF(Account!$F750&lt;&gt;"", DATEVALUE(MID($C750,4,3) &amp; LEFT($C750,3) &amp; RIGHT($C750,4)), "")</f>
        <v/>
      </c>
      <c r="Q750" s="35" t="str">
        <f t="array" ref="Q750">IF($R750&lt;&gt;"",IFERROR(INDEX(Investment!$A:$A,MATCH($R750,Investment!$H:$H,0))),)</f>
        <v/>
      </c>
      <c r="R750" s="36" t="str">
        <f t="array" ref="R750">IF(AND($Y750="change",$H750="EUR"),IF(AND($AA750="Crédit",$O750=$O751),$R751,IF(AND($AA750="Débit",$O750=$O749),$R749)),IF(OR(AND(OR($E750&lt;&gt;"",$M750=""),$N750&lt;&gt;0),$A750=""),IFERROR(INDEX(Investment!$H:$H,MATCH($E750,Investment!$F:$F,0))),IFERROR(INDEX($R751:$R1119,MATCH(SUBSTITUTE($I750,"-","",1),$K751:$K1119,0)),INDEX($R751:$R1119,MATCH($K750,$K751:$K1119,0)))))</f>
        <v/>
      </c>
      <c r="S750" s="35" t="str">
        <f t="shared" si="2"/>
        <v/>
      </c>
      <c r="T750" s="37" t="str">
        <f t="shared" si="3"/>
        <v/>
      </c>
      <c r="U750" s="38" t="str">
        <f t="shared" si="4"/>
        <v/>
      </c>
      <c r="V750" s="31" t="str">
        <f t="shared" si="5"/>
        <v/>
      </c>
      <c r="W750" s="39" t="str">
        <f>IFERROR(__xludf.DUMMYFUNCTION(" IF(Account!$F750&lt;&gt;"""", SPLIT(Account!$F750, "" ""), """")"),"")</f>
        <v/>
      </c>
      <c r="X750" s="40"/>
      <c r="Y750" s="40"/>
      <c r="Z750" s="40"/>
      <c r="AA750" s="40"/>
      <c r="AB750" s="40"/>
      <c r="AC750" s="40"/>
      <c r="AD750" s="40"/>
      <c r="AE750" s="40"/>
      <c r="AF750" s="40"/>
      <c r="AG750" s="40"/>
      <c r="AH750" s="40"/>
      <c r="AI750" s="40"/>
      <c r="AJ750" s="40"/>
      <c r="AK750" s="40"/>
    </row>
    <row r="751">
      <c r="A751" s="300"/>
      <c r="B751" s="300"/>
      <c r="C751" s="300"/>
      <c r="D751" s="300"/>
      <c r="E751" s="300"/>
      <c r="F751" s="329"/>
      <c r="G751" s="300"/>
      <c r="H751" s="300"/>
      <c r="I751" s="300"/>
      <c r="J751" s="300"/>
      <c r="K751" s="300"/>
      <c r="L751" s="329"/>
      <c r="M751" s="29" t="str">
        <f t="shared" si="1"/>
        <v/>
      </c>
      <c r="N751" s="31" t="str">
        <f>IFERROR(__xludf.DUMMYFUNCTION("IF(Account!$F751&lt;&gt;"""", VALUE(REGEXREPLACE($I751, ""\,"", ""."")), """")"),"")</f>
        <v/>
      </c>
      <c r="O751" s="33" t="str">
        <f>IF(Account!$F751&lt;&gt;"", DATEVALUE(MID($A751,4,3) &amp; LEFT($A751,3) &amp; RIGHT($A751,4)) + TIMEVALUE($B751), "")</f>
        <v/>
      </c>
      <c r="P751" s="34" t="str">
        <f>IF(Account!$F751&lt;&gt;"", DATEVALUE(MID($C751,4,3) &amp; LEFT($C751,3) &amp; RIGHT($C751,4)), "")</f>
        <v/>
      </c>
      <c r="Q751" s="35" t="str">
        <f t="array" ref="Q751">IF($R751&lt;&gt;"",IFERROR(INDEX(Investment!$A:$A,MATCH($R751,Investment!$H:$H,0))),)</f>
        <v/>
      </c>
      <c r="R751" s="36" t="str">
        <f t="array" ref="R751">IF(AND($Y751="change",$H751="EUR"),IF(AND($AA751="Crédit",$O751=$O752),$R752,IF(AND($AA751="Débit",$O751=$O750),$R750)),IF(OR(AND(OR($E751&lt;&gt;"",$M751=""),$N751&lt;&gt;0),$A751=""),IFERROR(INDEX(Investment!$H:$H,MATCH($E751,Investment!$F:$F,0))),IFERROR(INDEX($R752:$R1119,MATCH(SUBSTITUTE($I751,"-","",1),$K752:$K1119,0)),INDEX($R752:$R1119,MATCH($K751,$K752:$K1119,0)))))</f>
        <v/>
      </c>
      <c r="S751" s="35" t="str">
        <f t="shared" si="2"/>
        <v/>
      </c>
      <c r="T751" s="37" t="str">
        <f t="shared" si="3"/>
        <v/>
      </c>
      <c r="U751" s="38" t="str">
        <f t="shared" si="4"/>
        <v/>
      </c>
      <c r="V751" s="31" t="str">
        <f t="shared" si="5"/>
        <v/>
      </c>
      <c r="W751" s="39" t="str">
        <f>IFERROR(__xludf.DUMMYFUNCTION(" IF(Account!$F751&lt;&gt;"""", SPLIT(Account!$F751, "" ""), """")"),"")</f>
        <v/>
      </c>
      <c r="X751" s="40"/>
      <c r="Y751" s="40"/>
      <c r="Z751" s="40"/>
      <c r="AA751" s="40"/>
      <c r="AB751" s="40"/>
      <c r="AC751" s="40"/>
      <c r="AD751" s="40"/>
      <c r="AE751" s="40"/>
      <c r="AF751" s="40"/>
      <c r="AG751" s="40"/>
      <c r="AH751" s="40"/>
      <c r="AI751" s="40"/>
      <c r="AJ751" s="40"/>
      <c r="AK751" s="40"/>
    </row>
    <row r="752">
      <c r="A752" s="300"/>
      <c r="B752" s="300"/>
      <c r="C752" s="300"/>
      <c r="D752" s="300"/>
      <c r="E752" s="300"/>
      <c r="F752" s="329"/>
      <c r="G752" s="300"/>
      <c r="H752" s="300"/>
      <c r="I752" s="300"/>
      <c r="J752" s="300"/>
      <c r="K752" s="300"/>
      <c r="L752" s="329"/>
      <c r="M752" s="29" t="str">
        <f t="shared" si="1"/>
        <v/>
      </c>
      <c r="N752" s="31" t="str">
        <f>IFERROR(__xludf.DUMMYFUNCTION("IF(Account!$F752&lt;&gt;"""", VALUE(REGEXREPLACE($I752, ""\,"", ""."")), """")"),"")</f>
        <v/>
      </c>
      <c r="O752" s="33" t="str">
        <f>IF(Account!$F752&lt;&gt;"", DATEVALUE(MID($A752,4,3) &amp; LEFT($A752,3) &amp; RIGHT($A752,4)) + TIMEVALUE($B752), "")</f>
        <v/>
      </c>
      <c r="P752" s="34" t="str">
        <f>IF(Account!$F752&lt;&gt;"", DATEVALUE(MID($C752,4,3) &amp; LEFT($C752,3) &amp; RIGHT($C752,4)), "")</f>
        <v/>
      </c>
      <c r="Q752" s="35" t="str">
        <f t="array" ref="Q752">IF($R752&lt;&gt;"",IFERROR(INDEX(Investment!$A:$A,MATCH($R752,Investment!$H:$H,0))),)</f>
        <v/>
      </c>
      <c r="R752" s="36" t="str">
        <f t="array" ref="R752">IF(AND($Y752="change",$H752="EUR"),IF(AND($AA752="Crédit",$O752=$O753),$R753,IF(AND($AA752="Débit",$O752=$O751),$R751)),IF(OR(AND(OR($E752&lt;&gt;"",$M752=""),$N752&lt;&gt;0),$A752=""),IFERROR(INDEX(Investment!$H:$H,MATCH($E752,Investment!$F:$F,0))),IFERROR(INDEX($R753:$R1119,MATCH(SUBSTITUTE($I752,"-","",1),$K753:$K1119,0)),INDEX($R753:$R1119,MATCH($K752,$K753:$K1119,0)))))</f>
        <v/>
      </c>
      <c r="S752" s="35" t="str">
        <f t="shared" si="2"/>
        <v/>
      </c>
      <c r="T752" s="37" t="str">
        <f t="shared" si="3"/>
        <v/>
      </c>
      <c r="U752" s="38" t="str">
        <f t="shared" si="4"/>
        <v/>
      </c>
      <c r="V752" s="31" t="str">
        <f t="shared" si="5"/>
        <v/>
      </c>
      <c r="W752" s="39" t="str">
        <f>IFERROR(__xludf.DUMMYFUNCTION(" IF(Account!$F752&lt;&gt;"""", SPLIT(Account!$F752, "" ""), """")"),"")</f>
        <v/>
      </c>
      <c r="X752" s="40"/>
      <c r="Y752" s="40"/>
      <c r="Z752" s="40"/>
      <c r="AA752" s="40"/>
      <c r="AB752" s="40"/>
      <c r="AC752" s="40"/>
      <c r="AD752" s="40"/>
      <c r="AE752" s="40"/>
      <c r="AF752" s="40"/>
      <c r="AG752" s="40"/>
      <c r="AH752" s="40"/>
      <c r="AI752" s="40"/>
      <c r="AJ752" s="40"/>
      <c r="AK752" s="40"/>
    </row>
    <row r="753">
      <c r="A753" s="300"/>
      <c r="B753" s="300"/>
      <c r="C753" s="300"/>
      <c r="D753" s="300"/>
      <c r="E753" s="300"/>
      <c r="F753" s="329"/>
      <c r="G753" s="300"/>
      <c r="H753" s="300"/>
      <c r="I753" s="300"/>
      <c r="J753" s="300"/>
      <c r="K753" s="300"/>
      <c r="L753" s="329"/>
      <c r="M753" s="29" t="str">
        <f t="shared" si="1"/>
        <v/>
      </c>
      <c r="N753" s="31" t="str">
        <f>IFERROR(__xludf.DUMMYFUNCTION("IF(Account!$F753&lt;&gt;"""", VALUE(REGEXREPLACE($I753, ""\,"", ""."")), """")"),"")</f>
        <v/>
      </c>
      <c r="O753" s="33" t="str">
        <f>IF(Account!$F753&lt;&gt;"", DATEVALUE(MID($A753,4,3) &amp; LEFT($A753,3) &amp; RIGHT($A753,4)) + TIMEVALUE($B753), "")</f>
        <v/>
      </c>
      <c r="P753" s="34" t="str">
        <f>IF(Account!$F753&lt;&gt;"", DATEVALUE(MID($C753,4,3) &amp; LEFT($C753,3) &amp; RIGHT($C753,4)), "")</f>
        <v/>
      </c>
      <c r="Q753" s="35" t="str">
        <f t="array" ref="Q753">IF($R753&lt;&gt;"",IFERROR(INDEX(Investment!$A:$A,MATCH($R753,Investment!$H:$H,0))),)</f>
        <v/>
      </c>
      <c r="R753" s="36" t="str">
        <f t="array" ref="R753">IF(AND($Y753="change",$H753="EUR"),IF(AND($AA753="Crédit",$O753=$O754),$R754,IF(AND($AA753="Débit",$O753=$O752),$R752)),IF(OR(AND(OR($E753&lt;&gt;"",$M753=""),$N753&lt;&gt;0),$A753=""),IFERROR(INDEX(Investment!$H:$H,MATCH($E753,Investment!$F:$F,0))),IFERROR(INDEX($R754:$R1119,MATCH(SUBSTITUTE($I753,"-","",1),$K754:$K1119,0)),INDEX($R754:$R1119,MATCH($K753,$K754:$K1119,0)))))</f>
        <v/>
      </c>
      <c r="S753" s="35" t="str">
        <f t="shared" si="2"/>
        <v/>
      </c>
      <c r="T753" s="37" t="str">
        <f t="shared" si="3"/>
        <v/>
      </c>
      <c r="U753" s="38" t="str">
        <f t="shared" si="4"/>
        <v/>
      </c>
      <c r="V753" s="31" t="str">
        <f t="shared" si="5"/>
        <v/>
      </c>
      <c r="W753" s="39" t="str">
        <f>IFERROR(__xludf.DUMMYFUNCTION(" IF(Account!$F753&lt;&gt;"""", SPLIT(Account!$F753, "" ""), """")"),"")</f>
        <v/>
      </c>
      <c r="X753" s="40"/>
      <c r="Y753" s="40"/>
      <c r="Z753" s="40"/>
      <c r="AA753" s="40"/>
      <c r="AB753" s="40"/>
      <c r="AC753" s="40"/>
      <c r="AD753" s="40"/>
      <c r="AE753" s="40"/>
      <c r="AF753" s="40"/>
      <c r="AG753" s="40"/>
      <c r="AH753" s="40"/>
      <c r="AI753" s="40"/>
      <c r="AJ753" s="40"/>
      <c r="AK753" s="40"/>
    </row>
    <row r="754">
      <c r="A754" s="300"/>
      <c r="B754" s="300"/>
      <c r="C754" s="300"/>
      <c r="D754" s="300"/>
      <c r="E754" s="300"/>
      <c r="F754" s="329"/>
      <c r="G754" s="300"/>
      <c r="H754" s="300"/>
      <c r="I754" s="300"/>
      <c r="J754" s="300"/>
      <c r="K754" s="300"/>
      <c r="L754" s="329"/>
      <c r="M754" s="29" t="str">
        <f t="shared" si="1"/>
        <v/>
      </c>
      <c r="N754" s="31" t="str">
        <f>IFERROR(__xludf.DUMMYFUNCTION("IF(Account!$F754&lt;&gt;"""", VALUE(REGEXREPLACE($I754, ""\,"", ""."")), """")"),"")</f>
        <v/>
      </c>
      <c r="O754" s="33" t="str">
        <f>IF(Account!$F754&lt;&gt;"", DATEVALUE(MID($A754,4,3) &amp; LEFT($A754,3) &amp; RIGHT($A754,4)) + TIMEVALUE($B754), "")</f>
        <v/>
      </c>
      <c r="P754" s="34" t="str">
        <f>IF(Account!$F754&lt;&gt;"", DATEVALUE(MID($C754,4,3) &amp; LEFT($C754,3) &amp; RIGHT($C754,4)), "")</f>
        <v/>
      </c>
      <c r="Q754" s="35" t="str">
        <f t="array" ref="Q754">IF($R754&lt;&gt;"",IFERROR(INDEX(Investment!$A:$A,MATCH($R754,Investment!$H:$H,0))),)</f>
        <v/>
      </c>
      <c r="R754" s="36" t="str">
        <f t="array" ref="R754">IF(AND($Y754="change",$H754="EUR"),IF(AND($AA754="Crédit",$O754=$O755),$R755,IF(AND($AA754="Débit",$O754=$O753),$R753)),IF(OR(AND(OR($E754&lt;&gt;"",$M754=""),$N754&lt;&gt;0),$A754=""),IFERROR(INDEX(Investment!$H:$H,MATCH($E754,Investment!$F:$F,0))),IFERROR(INDEX($R755:$R1119,MATCH(SUBSTITUTE($I754,"-","",1),$K755:$K1119,0)),INDEX($R755:$R1119,MATCH($K754,$K755:$K1119,0)))))</f>
        <v/>
      </c>
      <c r="S754" s="35" t="str">
        <f t="shared" si="2"/>
        <v/>
      </c>
      <c r="T754" s="37" t="str">
        <f t="shared" si="3"/>
        <v/>
      </c>
      <c r="U754" s="38" t="str">
        <f t="shared" si="4"/>
        <v/>
      </c>
      <c r="V754" s="31" t="str">
        <f t="shared" si="5"/>
        <v/>
      </c>
      <c r="W754" s="39" t="str">
        <f>IFERROR(__xludf.DUMMYFUNCTION(" IF(Account!$F754&lt;&gt;"""", SPLIT(Account!$F754, "" ""), """")"),"")</f>
        <v/>
      </c>
      <c r="X754" s="40"/>
      <c r="Y754" s="40"/>
      <c r="Z754" s="40"/>
      <c r="AA754" s="40"/>
      <c r="AB754" s="40"/>
      <c r="AC754" s="40"/>
      <c r="AD754" s="40"/>
      <c r="AE754" s="40"/>
      <c r="AF754" s="40"/>
      <c r="AG754" s="40"/>
      <c r="AH754" s="40"/>
      <c r="AI754" s="40"/>
      <c r="AJ754" s="40"/>
      <c r="AK754" s="40"/>
    </row>
    <row r="755">
      <c r="A755" s="300"/>
      <c r="B755" s="300"/>
      <c r="C755" s="300"/>
      <c r="D755" s="300"/>
      <c r="E755" s="300"/>
      <c r="F755" s="329"/>
      <c r="G755" s="300"/>
      <c r="H755" s="300"/>
      <c r="I755" s="300"/>
      <c r="J755" s="300"/>
      <c r="K755" s="300"/>
      <c r="L755" s="329"/>
      <c r="M755" s="29" t="str">
        <f t="shared" si="1"/>
        <v/>
      </c>
      <c r="N755" s="31" t="str">
        <f>IFERROR(__xludf.DUMMYFUNCTION("IF(Account!$F755&lt;&gt;"""", VALUE(REGEXREPLACE($I755, ""\,"", ""."")), """")"),"")</f>
        <v/>
      </c>
      <c r="O755" s="33" t="str">
        <f>IF(Account!$F755&lt;&gt;"", DATEVALUE(MID($A755,4,3) &amp; LEFT($A755,3) &amp; RIGHT($A755,4)) + TIMEVALUE($B755), "")</f>
        <v/>
      </c>
      <c r="P755" s="34" t="str">
        <f>IF(Account!$F755&lt;&gt;"", DATEVALUE(MID($C755,4,3) &amp; LEFT($C755,3) &amp; RIGHT($C755,4)), "")</f>
        <v/>
      </c>
      <c r="Q755" s="35" t="str">
        <f t="array" ref="Q755">IF($R755&lt;&gt;"",IFERROR(INDEX(Investment!$A:$A,MATCH($R755,Investment!$H:$H,0))),)</f>
        <v/>
      </c>
      <c r="R755" s="36" t="str">
        <f t="array" ref="R755">IF(AND($Y755="change",$H755="EUR"),IF(AND($AA755="Crédit",$O755=$O756),$R756,IF(AND($AA755="Débit",$O755=$O754),$R754)),IF(OR(AND(OR($E755&lt;&gt;"",$M755=""),$N755&lt;&gt;0),$A755=""),IFERROR(INDEX(Investment!$H:$H,MATCH($E755,Investment!$F:$F,0))),IFERROR(INDEX($R756:$R1119,MATCH(SUBSTITUTE($I755,"-","",1),$K756:$K1119,0)),INDEX($R756:$R1119,MATCH($K755,$K756:$K1119,0)))))</f>
        <v/>
      </c>
      <c r="S755" s="35" t="str">
        <f t="shared" si="2"/>
        <v/>
      </c>
      <c r="T755" s="37" t="str">
        <f t="shared" si="3"/>
        <v/>
      </c>
      <c r="U755" s="38" t="str">
        <f t="shared" si="4"/>
        <v/>
      </c>
      <c r="V755" s="31" t="str">
        <f t="shared" si="5"/>
        <v/>
      </c>
      <c r="W755" s="39" t="str">
        <f>IFERROR(__xludf.DUMMYFUNCTION(" IF(Account!$F755&lt;&gt;"""", SPLIT(Account!$F755, "" ""), """")"),"")</f>
        <v/>
      </c>
      <c r="X755" s="40"/>
      <c r="Y755" s="40"/>
      <c r="Z755" s="40"/>
      <c r="AA755" s="40"/>
      <c r="AB755" s="40"/>
      <c r="AC755" s="40"/>
      <c r="AD755" s="40"/>
      <c r="AE755" s="40"/>
      <c r="AF755" s="40"/>
      <c r="AG755" s="40"/>
      <c r="AH755" s="40"/>
      <c r="AI755" s="40"/>
      <c r="AJ755" s="40"/>
      <c r="AK755" s="40"/>
    </row>
    <row r="756">
      <c r="A756" s="300"/>
      <c r="B756" s="300"/>
      <c r="C756" s="300"/>
      <c r="D756" s="300"/>
      <c r="E756" s="300"/>
      <c r="F756" s="329"/>
      <c r="G756" s="300"/>
      <c r="H756" s="300"/>
      <c r="I756" s="300"/>
      <c r="J756" s="300"/>
      <c r="K756" s="300"/>
      <c r="L756" s="329"/>
      <c r="M756" s="29" t="str">
        <f t="shared" si="1"/>
        <v/>
      </c>
      <c r="N756" s="31" t="str">
        <f>IFERROR(__xludf.DUMMYFUNCTION("IF(Account!$F756&lt;&gt;"""", VALUE(REGEXREPLACE($I756, ""\,"", ""."")), """")"),"")</f>
        <v/>
      </c>
      <c r="O756" s="33" t="str">
        <f>IF(Account!$F756&lt;&gt;"", DATEVALUE(MID($A756,4,3) &amp; LEFT($A756,3) &amp; RIGHT($A756,4)) + TIMEVALUE($B756), "")</f>
        <v/>
      </c>
      <c r="P756" s="34" t="str">
        <f>IF(Account!$F756&lt;&gt;"", DATEVALUE(MID($C756,4,3) &amp; LEFT($C756,3) &amp; RIGHT($C756,4)), "")</f>
        <v/>
      </c>
      <c r="Q756" s="35" t="str">
        <f t="array" ref="Q756">IF($R756&lt;&gt;"",IFERROR(INDEX(Investment!$A:$A,MATCH($R756,Investment!$H:$H,0))),)</f>
        <v/>
      </c>
      <c r="R756" s="36" t="str">
        <f t="array" ref="R756">IF(AND($Y756="change",$H756="EUR"),IF(AND($AA756="Crédit",$O756=$O757),$R757,IF(AND($AA756="Débit",$O756=$O755),$R755)),IF(OR(AND(OR($E756&lt;&gt;"",$M756=""),$N756&lt;&gt;0),$A756=""),IFERROR(INDEX(Investment!$H:$H,MATCH($E756,Investment!$F:$F,0))),IFERROR(INDEX($R757:$R1119,MATCH(SUBSTITUTE($I756,"-","",1),$K757:$K1119,0)),INDEX($R757:$R1119,MATCH($K756,$K757:$K1119,0)))))</f>
        <v/>
      </c>
      <c r="S756" s="35" t="str">
        <f t="shared" si="2"/>
        <v/>
      </c>
      <c r="T756" s="37" t="str">
        <f t="shared" si="3"/>
        <v/>
      </c>
      <c r="U756" s="38" t="str">
        <f t="shared" si="4"/>
        <v/>
      </c>
      <c r="V756" s="31" t="str">
        <f t="shared" si="5"/>
        <v/>
      </c>
      <c r="W756" s="39" t="str">
        <f>IFERROR(__xludf.DUMMYFUNCTION(" IF(Account!$F756&lt;&gt;"""", SPLIT(Account!$F756, "" ""), """")"),"")</f>
        <v/>
      </c>
      <c r="X756" s="40"/>
      <c r="Y756" s="40"/>
      <c r="Z756" s="40"/>
      <c r="AA756" s="40"/>
      <c r="AB756" s="40"/>
      <c r="AC756" s="40"/>
      <c r="AD756" s="40"/>
      <c r="AE756" s="40"/>
      <c r="AF756" s="40"/>
      <c r="AG756" s="40"/>
      <c r="AH756" s="40"/>
      <c r="AI756" s="40"/>
      <c r="AJ756" s="40"/>
      <c r="AK756" s="40"/>
    </row>
    <row r="757">
      <c r="A757" s="300"/>
      <c r="B757" s="300"/>
      <c r="C757" s="300"/>
      <c r="D757" s="300"/>
      <c r="E757" s="300"/>
      <c r="F757" s="329"/>
      <c r="G757" s="300"/>
      <c r="H757" s="300"/>
      <c r="I757" s="300"/>
      <c r="J757" s="300"/>
      <c r="K757" s="300"/>
      <c r="L757" s="329"/>
      <c r="M757" s="29" t="str">
        <f t="shared" si="1"/>
        <v/>
      </c>
      <c r="N757" s="31" t="str">
        <f>IFERROR(__xludf.DUMMYFUNCTION("IF(Account!$F757&lt;&gt;"""", VALUE(REGEXREPLACE($I757, ""\,"", ""."")), """")"),"")</f>
        <v/>
      </c>
      <c r="O757" s="33" t="str">
        <f>IF(Account!$F757&lt;&gt;"", DATEVALUE(MID($A757,4,3) &amp; LEFT($A757,3) &amp; RIGHT($A757,4)) + TIMEVALUE($B757), "")</f>
        <v/>
      </c>
      <c r="P757" s="34" t="str">
        <f>IF(Account!$F757&lt;&gt;"", DATEVALUE(MID($C757,4,3) &amp; LEFT($C757,3) &amp; RIGHT($C757,4)), "")</f>
        <v/>
      </c>
      <c r="Q757" s="35" t="str">
        <f t="array" ref="Q757">IF($R757&lt;&gt;"",IFERROR(INDEX(Investment!$A:$A,MATCH($R757,Investment!$H:$H,0))),)</f>
        <v/>
      </c>
      <c r="R757" s="36" t="str">
        <f t="array" ref="R757">IF(AND($Y757="change",$H757="EUR"),IF(AND($AA757="Crédit",$O757=$O758),$R758,IF(AND($AA757="Débit",$O757=$O756),$R756)),IF(OR(AND(OR($E757&lt;&gt;"",$M757=""),$N757&lt;&gt;0),$A757=""),IFERROR(INDEX(Investment!$H:$H,MATCH($E757,Investment!$F:$F,0))),IFERROR(INDEX($R758:$R1119,MATCH(SUBSTITUTE($I757,"-","",1),$K758:$K1119,0)),INDEX($R758:$R1119,MATCH($K757,$K758:$K1119,0)))))</f>
        <v/>
      </c>
      <c r="S757" s="35" t="str">
        <f t="shared" si="2"/>
        <v/>
      </c>
      <c r="T757" s="37" t="str">
        <f t="shared" si="3"/>
        <v/>
      </c>
      <c r="U757" s="38" t="str">
        <f t="shared" si="4"/>
        <v/>
      </c>
      <c r="V757" s="31" t="str">
        <f t="shared" si="5"/>
        <v/>
      </c>
      <c r="W757" s="39" t="str">
        <f>IFERROR(__xludf.DUMMYFUNCTION(" IF(Account!$F757&lt;&gt;"""", SPLIT(Account!$F757, "" ""), """")"),"")</f>
        <v/>
      </c>
      <c r="X757" s="40"/>
      <c r="Y757" s="40"/>
      <c r="Z757" s="40"/>
      <c r="AA757" s="40"/>
      <c r="AB757" s="40"/>
      <c r="AC757" s="40"/>
      <c r="AD757" s="40"/>
      <c r="AE757" s="40"/>
      <c r="AF757" s="40"/>
      <c r="AG757" s="40"/>
      <c r="AH757" s="40"/>
      <c r="AI757" s="40"/>
      <c r="AJ757" s="40"/>
      <c r="AK757" s="40"/>
    </row>
    <row r="758">
      <c r="A758" s="300"/>
      <c r="B758" s="300"/>
      <c r="C758" s="300"/>
      <c r="D758" s="300"/>
      <c r="E758" s="300"/>
      <c r="F758" s="329"/>
      <c r="G758" s="300"/>
      <c r="H758" s="300"/>
      <c r="I758" s="300"/>
      <c r="J758" s="300"/>
      <c r="K758" s="300"/>
      <c r="L758" s="329"/>
      <c r="M758" s="29" t="str">
        <f t="shared" si="1"/>
        <v/>
      </c>
      <c r="N758" s="31" t="str">
        <f>IFERROR(__xludf.DUMMYFUNCTION("IF(Account!$F758&lt;&gt;"""", VALUE(REGEXREPLACE($I758, ""\,"", ""."")), """")"),"")</f>
        <v/>
      </c>
      <c r="O758" s="33" t="str">
        <f>IF(Account!$F758&lt;&gt;"", DATEVALUE(MID($A758,4,3) &amp; LEFT($A758,3) &amp; RIGHT($A758,4)) + TIMEVALUE($B758), "")</f>
        <v/>
      </c>
      <c r="P758" s="34" t="str">
        <f>IF(Account!$F758&lt;&gt;"", DATEVALUE(MID($C758,4,3) &amp; LEFT($C758,3) &amp; RIGHT($C758,4)), "")</f>
        <v/>
      </c>
      <c r="Q758" s="35" t="str">
        <f t="array" ref="Q758">IF($R758&lt;&gt;"",IFERROR(INDEX(Investment!$A:$A,MATCH($R758,Investment!$H:$H,0))),)</f>
        <v/>
      </c>
      <c r="R758" s="36" t="str">
        <f t="array" ref="R758">IF(AND($Y758="change",$H758="EUR"),IF(AND($AA758="Crédit",$O758=$O759),$R759,IF(AND($AA758="Débit",$O758=$O757),$R757)),IF(OR(AND(OR($E758&lt;&gt;"",$M758=""),$N758&lt;&gt;0),$A758=""),IFERROR(INDEX(Investment!$H:$H,MATCH($E758,Investment!$F:$F,0))),IFERROR(INDEX($R759:$R1119,MATCH(SUBSTITUTE($I758,"-","",1),$K759:$K1119,0)),INDEX($R759:$R1119,MATCH($K758,$K759:$K1119,0)))))</f>
        <v/>
      </c>
      <c r="S758" s="35" t="str">
        <f t="shared" si="2"/>
        <v/>
      </c>
      <c r="T758" s="37" t="str">
        <f t="shared" si="3"/>
        <v/>
      </c>
      <c r="U758" s="38" t="str">
        <f t="shared" si="4"/>
        <v/>
      </c>
      <c r="V758" s="31" t="str">
        <f t="shared" si="5"/>
        <v/>
      </c>
      <c r="W758" s="39" t="str">
        <f>IFERROR(__xludf.DUMMYFUNCTION(" IF(Account!$F758&lt;&gt;"""", SPLIT(Account!$F758, "" ""), """")"),"")</f>
        <v/>
      </c>
      <c r="X758" s="40"/>
      <c r="Y758" s="40"/>
      <c r="Z758" s="40"/>
      <c r="AA758" s="40"/>
      <c r="AB758" s="40"/>
      <c r="AC758" s="40"/>
      <c r="AD758" s="40"/>
      <c r="AE758" s="40"/>
      <c r="AF758" s="40"/>
      <c r="AG758" s="40"/>
      <c r="AH758" s="40"/>
      <c r="AI758" s="40"/>
      <c r="AJ758" s="40"/>
      <c r="AK758" s="40"/>
    </row>
    <row r="759">
      <c r="A759" s="300"/>
      <c r="B759" s="300"/>
      <c r="C759" s="300"/>
      <c r="D759" s="300"/>
      <c r="E759" s="300"/>
      <c r="F759" s="329"/>
      <c r="G759" s="300"/>
      <c r="H759" s="300"/>
      <c r="I759" s="300"/>
      <c r="J759" s="300"/>
      <c r="K759" s="300"/>
      <c r="L759" s="329"/>
      <c r="M759" s="29" t="str">
        <f t="shared" si="1"/>
        <v/>
      </c>
      <c r="N759" s="31" t="str">
        <f>IFERROR(__xludf.DUMMYFUNCTION("IF(Account!$F759&lt;&gt;"""", VALUE(REGEXREPLACE($I759, ""\,"", ""."")), """")"),"")</f>
        <v/>
      </c>
      <c r="O759" s="33" t="str">
        <f>IF(Account!$F759&lt;&gt;"", DATEVALUE(MID($A759,4,3) &amp; LEFT($A759,3) &amp; RIGHT($A759,4)) + TIMEVALUE($B759), "")</f>
        <v/>
      </c>
      <c r="P759" s="34" t="str">
        <f>IF(Account!$F759&lt;&gt;"", DATEVALUE(MID($C759,4,3) &amp; LEFT($C759,3) &amp; RIGHT($C759,4)), "")</f>
        <v/>
      </c>
      <c r="Q759" s="35" t="str">
        <f t="array" ref="Q759">IF($R759&lt;&gt;"",IFERROR(INDEX(Investment!$A:$A,MATCH($R759,Investment!$H:$H,0))),)</f>
        <v/>
      </c>
      <c r="R759" s="36" t="str">
        <f t="array" ref="R759">IF(AND($Y759="change",$H759="EUR"),IF(AND($AA759="Crédit",$O759=$O760),$R760,IF(AND($AA759="Débit",$O759=$O758),$R758)),IF(OR(AND(OR($E759&lt;&gt;"",$M759=""),$N759&lt;&gt;0),$A759=""),IFERROR(INDEX(Investment!$H:$H,MATCH($E759,Investment!$F:$F,0))),IFERROR(INDEX($R760:$R1119,MATCH(SUBSTITUTE($I759,"-","",1),$K760:$K1119,0)),INDEX($R760:$R1119,MATCH($K759,$K760:$K1119,0)))))</f>
        <v/>
      </c>
      <c r="S759" s="35" t="str">
        <f t="shared" si="2"/>
        <v/>
      </c>
      <c r="T759" s="37" t="str">
        <f t="shared" si="3"/>
        <v/>
      </c>
      <c r="U759" s="38" t="str">
        <f t="shared" si="4"/>
        <v/>
      </c>
      <c r="V759" s="31" t="str">
        <f t="shared" si="5"/>
        <v/>
      </c>
      <c r="W759" s="39" t="str">
        <f>IFERROR(__xludf.DUMMYFUNCTION(" IF(Account!$F759&lt;&gt;"""", SPLIT(Account!$F759, "" ""), """")"),"")</f>
        <v/>
      </c>
      <c r="X759" s="40"/>
      <c r="Y759" s="40"/>
      <c r="Z759" s="40"/>
      <c r="AA759" s="40"/>
      <c r="AB759" s="40"/>
      <c r="AC759" s="40"/>
      <c r="AD759" s="40"/>
      <c r="AE759" s="40"/>
      <c r="AF759" s="40"/>
      <c r="AG759" s="40"/>
      <c r="AH759" s="40"/>
      <c r="AI759" s="40"/>
      <c r="AJ759" s="40"/>
      <c r="AK759" s="40"/>
    </row>
    <row r="760">
      <c r="A760" s="300"/>
      <c r="B760" s="300"/>
      <c r="C760" s="300"/>
      <c r="D760" s="300"/>
      <c r="E760" s="300"/>
      <c r="F760" s="329"/>
      <c r="G760" s="300"/>
      <c r="H760" s="300"/>
      <c r="I760" s="300"/>
      <c r="J760" s="300"/>
      <c r="K760" s="300"/>
      <c r="L760" s="329"/>
      <c r="M760" s="29" t="str">
        <f t="shared" si="1"/>
        <v/>
      </c>
      <c r="N760" s="31" t="str">
        <f>IFERROR(__xludf.DUMMYFUNCTION("IF(Account!$F760&lt;&gt;"""", VALUE(REGEXREPLACE($I760, ""\,"", ""."")), """")"),"")</f>
        <v/>
      </c>
      <c r="O760" s="33" t="str">
        <f>IF(Account!$F760&lt;&gt;"", DATEVALUE(MID($A760,4,3) &amp; LEFT($A760,3) &amp; RIGHT($A760,4)) + TIMEVALUE($B760), "")</f>
        <v/>
      </c>
      <c r="P760" s="34" t="str">
        <f>IF(Account!$F760&lt;&gt;"", DATEVALUE(MID($C760,4,3) &amp; LEFT($C760,3) &amp; RIGHT($C760,4)), "")</f>
        <v/>
      </c>
      <c r="Q760" s="35" t="str">
        <f t="array" ref="Q760">IF($R760&lt;&gt;"",IFERROR(INDEX(Investment!$A:$A,MATCH($R760,Investment!$H:$H,0))),)</f>
        <v/>
      </c>
      <c r="R760" s="36" t="str">
        <f t="array" ref="R760">IF(AND($Y760="change",$H760="EUR"),IF(AND($AA760="Crédit",$O760=$O761),$R761,IF(AND($AA760="Débit",$O760=$O759),$R759)),IF(OR(AND(OR($E760&lt;&gt;"",$M760=""),$N760&lt;&gt;0),$A760=""),IFERROR(INDEX(Investment!$H:$H,MATCH($E760,Investment!$F:$F,0))),IFERROR(INDEX($R761:$R1119,MATCH(SUBSTITUTE($I760,"-","",1),$K761:$K1119,0)),INDEX($R761:$R1119,MATCH($K760,$K761:$K1119,0)))))</f>
        <v/>
      </c>
      <c r="S760" s="35" t="str">
        <f t="shared" si="2"/>
        <v/>
      </c>
      <c r="T760" s="37" t="str">
        <f t="shared" si="3"/>
        <v/>
      </c>
      <c r="U760" s="38" t="str">
        <f t="shared" si="4"/>
        <v/>
      </c>
      <c r="V760" s="31" t="str">
        <f t="shared" si="5"/>
        <v/>
      </c>
      <c r="W760" s="39" t="str">
        <f>IFERROR(__xludf.DUMMYFUNCTION(" IF(Account!$F760&lt;&gt;"""", SPLIT(Account!$F760, "" ""), """")"),"")</f>
        <v/>
      </c>
      <c r="X760" s="40"/>
      <c r="Y760" s="40"/>
      <c r="Z760" s="40"/>
      <c r="AA760" s="40"/>
      <c r="AB760" s="40"/>
      <c r="AC760" s="40"/>
      <c r="AD760" s="40"/>
      <c r="AE760" s="40"/>
      <c r="AF760" s="40"/>
      <c r="AG760" s="40"/>
      <c r="AH760" s="40"/>
      <c r="AI760" s="40"/>
      <c r="AJ760" s="40"/>
      <c r="AK760" s="40"/>
    </row>
    <row r="761">
      <c r="A761" s="300"/>
      <c r="B761" s="300"/>
      <c r="C761" s="300"/>
      <c r="D761" s="300"/>
      <c r="E761" s="300"/>
      <c r="F761" s="329"/>
      <c r="G761" s="300"/>
      <c r="H761" s="300"/>
      <c r="I761" s="300"/>
      <c r="J761" s="300"/>
      <c r="K761" s="300"/>
      <c r="L761" s="329"/>
      <c r="M761" s="29" t="str">
        <f t="shared" si="1"/>
        <v/>
      </c>
      <c r="N761" s="31" t="str">
        <f>IFERROR(__xludf.DUMMYFUNCTION("IF(Account!$F761&lt;&gt;"""", VALUE(REGEXREPLACE($I761, ""\,"", ""."")), """")"),"")</f>
        <v/>
      </c>
      <c r="O761" s="33" t="str">
        <f>IF(Account!$F761&lt;&gt;"", DATEVALUE(MID($A761,4,3) &amp; LEFT($A761,3) &amp; RIGHT($A761,4)) + TIMEVALUE($B761), "")</f>
        <v/>
      </c>
      <c r="P761" s="34" t="str">
        <f>IF(Account!$F761&lt;&gt;"", DATEVALUE(MID($C761,4,3) &amp; LEFT($C761,3) &amp; RIGHT($C761,4)), "")</f>
        <v/>
      </c>
      <c r="Q761" s="35" t="str">
        <f t="array" ref="Q761">IF($R761&lt;&gt;"",IFERROR(INDEX(Investment!$A:$A,MATCH($R761,Investment!$H:$H,0))),)</f>
        <v/>
      </c>
      <c r="R761" s="36" t="str">
        <f t="array" ref="R761">IF(AND($Y761="change",$H761="EUR"),IF(AND($AA761="Crédit",$O761=$O762),$R762,IF(AND($AA761="Débit",$O761=$O760),$R760)),IF(OR(AND(OR($E761&lt;&gt;"",$M761=""),$N761&lt;&gt;0),$A761=""),IFERROR(INDEX(Investment!$H:$H,MATCH($E761,Investment!$F:$F,0))),IFERROR(INDEX($R762:$R1119,MATCH(SUBSTITUTE($I761,"-","",1),$K762:$K1119,0)),INDEX($R762:$R1119,MATCH($K761,$K762:$K1119,0)))))</f>
        <v/>
      </c>
      <c r="S761" s="35" t="str">
        <f t="shared" si="2"/>
        <v/>
      </c>
      <c r="T761" s="37" t="str">
        <f t="shared" si="3"/>
        <v/>
      </c>
      <c r="U761" s="38" t="str">
        <f t="shared" si="4"/>
        <v/>
      </c>
      <c r="V761" s="31" t="str">
        <f t="shared" si="5"/>
        <v/>
      </c>
      <c r="W761" s="39" t="str">
        <f>IFERROR(__xludf.DUMMYFUNCTION(" IF(Account!$F761&lt;&gt;"""", SPLIT(Account!$F761, "" ""), """")"),"")</f>
        <v/>
      </c>
      <c r="X761" s="40"/>
      <c r="Y761" s="40"/>
      <c r="Z761" s="40"/>
      <c r="AA761" s="40"/>
      <c r="AB761" s="40"/>
      <c r="AC761" s="40"/>
      <c r="AD761" s="40"/>
      <c r="AE761" s="40"/>
      <c r="AF761" s="40"/>
      <c r="AG761" s="40"/>
      <c r="AH761" s="40"/>
      <c r="AI761" s="40"/>
      <c r="AJ761" s="40"/>
      <c r="AK761" s="40"/>
    </row>
    <row r="762">
      <c r="A762" s="300"/>
      <c r="B762" s="300"/>
      <c r="C762" s="300"/>
      <c r="D762" s="300"/>
      <c r="E762" s="300"/>
      <c r="F762" s="329"/>
      <c r="G762" s="300"/>
      <c r="H762" s="300"/>
      <c r="I762" s="300"/>
      <c r="J762" s="300"/>
      <c r="K762" s="300"/>
      <c r="L762" s="329"/>
      <c r="M762" s="29" t="str">
        <f t="shared" si="1"/>
        <v/>
      </c>
      <c r="N762" s="31" t="str">
        <f>IFERROR(__xludf.DUMMYFUNCTION("IF(Account!$F762&lt;&gt;"""", VALUE(REGEXREPLACE($I762, ""\,"", ""."")), """")"),"")</f>
        <v/>
      </c>
      <c r="O762" s="33" t="str">
        <f>IF(Account!$F762&lt;&gt;"", DATEVALUE(MID($A762,4,3) &amp; LEFT($A762,3) &amp; RIGHT($A762,4)) + TIMEVALUE($B762), "")</f>
        <v/>
      </c>
      <c r="P762" s="34" t="str">
        <f>IF(Account!$F762&lt;&gt;"", DATEVALUE(MID($C762,4,3) &amp; LEFT($C762,3) &amp; RIGHT($C762,4)), "")</f>
        <v/>
      </c>
      <c r="Q762" s="35" t="str">
        <f t="array" ref="Q762">IF($R762&lt;&gt;"",IFERROR(INDEX(Investment!$A:$A,MATCH($R762,Investment!$H:$H,0))),)</f>
        <v/>
      </c>
      <c r="R762" s="36" t="str">
        <f t="array" ref="R762">IF(AND($Y762="change",$H762="EUR"),IF(AND($AA762="Crédit",$O762=$O763),$R763,IF(AND($AA762="Débit",$O762=$O761),$R761)),IF(OR(AND(OR($E762&lt;&gt;"",$M762=""),$N762&lt;&gt;0),$A762=""),IFERROR(INDEX(Investment!$H:$H,MATCH($E762,Investment!$F:$F,0))),IFERROR(INDEX($R763:$R1119,MATCH(SUBSTITUTE($I762,"-","",1),$K763:$K1119,0)),INDEX($R763:$R1119,MATCH($K762,$K763:$K1119,0)))))</f>
        <v/>
      </c>
      <c r="S762" s="35" t="str">
        <f t="shared" si="2"/>
        <v/>
      </c>
      <c r="T762" s="37" t="str">
        <f t="shared" si="3"/>
        <v/>
      </c>
      <c r="U762" s="38" t="str">
        <f t="shared" si="4"/>
        <v/>
      </c>
      <c r="V762" s="31" t="str">
        <f t="shared" si="5"/>
        <v/>
      </c>
      <c r="W762" s="39" t="str">
        <f>IFERROR(__xludf.DUMMYFUNCTION(" IF(Account!$F762&lt;&gt;"""", SPLIT(Account!$F762, "" ""), """")"),"")</f>
        <v/>
      </c>
      <c r="X762" s="40"/>
      <c r="Y762" s="40"/>
      <c r="Z762" s="40"/>
      <c r="AA762" s="40"/>
      <c r="AB762" s="40"/>
      <c r="AC762" s="40"/>
      <c r="AD762" s="40"/>
      <c r="AE762" s="40"/>
      <c r="AF762" s="40"/>
      <c r="AG762" s="40"/>
      <c r="AH762" s="40"/>
      <c r="AI762" s="40"/>
      <c r="AJ762" s="40"/>
      <c r="AK762" s="40"/>
    </row>
    <row r="763">
      <c r="A763" s="300"/>
      <c r="B763" s="300"/>
      <c r="C763" s="300"/>
      <c r="D763" s="300"/>
      <c r="E763" s="300"/>
      <c r="F763" s="329"/>
      <c r="G763" s="300"/>
      <c r="H763" s="300"/>
      <c r="I763" s="300"/>
      <c r="J763" s="300"/>
      <c r="K763" s="300"/>
      <c r="L763" s="329"/>
      <c r="M763" s="29" t="str">
        <f t="shared" si="1"/>
        <v/>
      </c>
      <c r="N763" s="31" t="str">
        <f>IFERROR(__xludf.DUMMYFUNCTION("IF(Account!$F763&lt;&gt;"""", VALUE(REGEXREPLACE($I763, ""\,"", ""."")), """")"),"")</f>
        <v/>
      </c>
      <c r="O763" s="33" t="str">
        <f>IF(Account!$F763&lt;&gt;"", DATEVALUE(MID($A763,4,3) &amp; LEFT($A763,3) &amp; RIGHT($A763,4)) + TIMEVALUE($B763), "")</f>
        <v/>
      </c>
      <c r="P763" s="34" t="str">
        <f>IF(Account!$F763&lt;&gt;"", DATEVALUE(MID($C763,4,3) &amp; LEFT($C763,3) &amp; RIGHT($C763,4)), "")</f>
        <v/>
      </c>
      <c r="Q763" s="35" t="str">
        <f t="array" ref="Q763">IF($R763&lt;&gt;"",IFERROR(INDEX(Investment!$A:$A,MATCH($R763,Investment!$H:$H,0))),)</f>
        <v/>
      </c>
      <c r="R763" s="36" t="str">
        <f t="array" ref="R763">IF(AND($Y763="change",$H763="EUR"),IF(AND($AA763="Crédit",$O763=$O764),$R764,IF(AND($AA763="Débit",$O763=$O762),$R762)),IF(OR(AND(OR($E763&lt;&gt;"",$M763=""),$N763&lt;&gt;0),$A763=""),IFERROR(INDEX(Investment!$H:$H,MATCH($E763,Investment!$F:$F,0))),IFERROR(INDEX($R764:$R1119,MATCH(SUBSTITUTE($I763,"-","",1),$K764:$K1119,0)),INDEX($R764:$R1119,MATCH($K763,$K764:$K1119,0)))))</f>
        <v/>
      </c>
      <c r="S763" s="35" t="str">
        <f t="shared" si="2"/>
        <v/>
      </c>
      <c r="T763" s="37" t="str">
        <f t="shared" si="3"/>
        <v/>
      </c>
      <c r="U763" s="38" t="str">
        <f t="shared" si="4"/>
        <v/>
      </c>
      <c r="V763" s="31" t="str">
        <f t="shared" si="5"/>
        <v/>
      </c>
      <c r="W763" s="39" t="str">
        <f>IFERROR(__xludf.DUMMYFUNCTION(" IF(Account!$F763&lt;&gt;"""", SPLIT(Account!$F763, "" ""), """")"),"")</f>
        <v/>
      </c>
      <c r="X763" s="40"/>
      <c r="Y763" s="40"/>
      <c r="Z763" s="40"/>
      <c r="AA763" s="40"/>
      <c r="AB763" s="40"/>
      <c r="AC763" s="40"/>
      <c r="AD763" s="40"/>
      <c r="AE763" s="40"/>
      <c r="AF763" s="40"/>
      <c r="AG763" s="40"/>
      <c r="AH763" s="40"/>
      <c r="AI763" s="40"/>
      <c r="AJ763" s="40"/>
      <c r="AK763" s="40"/>
    </row>
    <row r="764">
      <c r="A764" s="300"/>
      <c r="B764" s="300"/>
      <c r="C764" s="300"/>
      <c r="D764" s="300"/>
      <c r="E764" s="300"/>
      <c r="F764" s="329"/>
      <c r="G764" s="300"/>
      <c r="H764" s="300"/>
      <c r="I764" s="300"/>
      <c r="J764" s="300"/>
      <c r="K764" s="300"/>
      <c r="L764" s="329"/>
      <c r="M764" s="29" t="str">
        <f t="shared" si="1"/>
        <v/>
      </c>
      <c r="N764" s="31" t="str">
        <f>IFERROR(__xludf.DUMMYFUNCTION("IF(Account!$F764&lt;&gt;"""", VALUE(REGEXREPLACE($I764, ""\,"", ""."")), """")"),"")</f>
        <v/>
      </c>
      <c r="O764" s="33" t="str">
        <f>IF(Account!$F764&lt;&gt;"", DATEVALUE(MID($A764,4,3) &amp; LEFT($A764,3) &amp; RIGHT($A764,4)) + TIMEVALUE($B764), "")</f>
        <v/>
      </c>
      <c r="P764" s="34" t="str">
        <f>IF(Account!$F764&lt;&gt;"", DATEVALUE(MID($C764,4,3) &amp; LEFT($C764,3) &amp; RIGHT($C764,4)), "")</f>
        <v/>
      </c>
      <c r="Q764" s="35" t="str">
        <f t="array" ref="Q764">IF($R764&lt;&gt;"",IFERROR(INDEX(Investment!$A:$A,MATCH($R764,Investment!$H:$H,0))),)</f>
        <v/>
      </c>
      <c r="R764" s="36" t="str">
        <f t="array" ref="R764">IF(AND($Y764="change",$H764="EUR"),IF(AND($AA764="Crédit",$O764=$O765),$R765,IF(AND($AA764="Débit",$O764=$O763),$R763)),IF(OR(AND(OR($E764&lt;&gt;"",$M764=""),$N764&lt;&gt;0),$A764=""),IFERROR(INDEX(Investment!$H:$H,MATCH($E764,Investment!$F:$F,0))),IFERROR(INDEX($R765:$R1119,MATCH(SUBSTITUTE($I764,"-","",1),$K765:$K1119,0)),INDEX($R765:$R1119,MATCH($K764,$K765:$K1119,0)))))</f>
        <v/>
      </c>
      <c r="S764" s="35" t="str">
        <f t="shared" si="2"/>
        <v/>
      </c>
      <c r="T764" s="37" t="str">
        <f t="shared" si="3"/>
        <v/>
      </c>
      <c r="U764" s="38" t="str">
        <f t="shared" si="4"/>
        <v/>
      </c>
      <c r="V764" s="31" t="str">
        <f t="shared" si="5"/>
        <v/>
      </c>
      <c r="W764" s="39" t="str">
        <f>IFERROR(__xludf.DUMMYFUNCTION(" IF(Account!$F764&lt;&gt;"""", SPLIT(Account!$F764, "" ""), """")"),"")</f>
        <v/>
      </c>
      <c r="X764" s="40"/>
      <c r="Y764" s="40"/>
      <c r="Z764" s="40"/>
      <c r="AA764" s="40"/>
      <c r="AB764" s="40"/>
      <c r="AC764" s="40"/>
      <c r="AD764" s="40"/>
      <c r="AE764" s="40"/>
      <c r="AF764" s="40"/>
      <c r="AG764" s="40"/>
      <c r="AH764" s="40"/>
      <c r="AI764" s="40"/>
      <c r="AJ764" s="40"/>
      <c r="AK764" s="40"/>
    </row>
    <row r="765">
      <c r="A765" s="300"/>
      <c r="B765" s="300"/>
      <c r="C765" s="300"/>
      <c r="D765" s="300"/>
      <c r="E765" s="300"/>
      <c r="F765" s="329"/>
      <c r="G765" s="300"/>
      <c r="H765" s="300"/>
      <c r="I765" s="300"/>
      <c r="J765" s="300"/>
      <c r="K765" s="300"/>
      <c r="L765" s="329"/>
      <c r="M765" s="29" t="str">
        <f t="shared" si="1"/>
        <v/>
      </c>
      <c r="N765" s="31" t="str">
        <f>IFERROR(__xludf.DUMMYFUNCTION("IF(Account!$F765&lt;&gt;"""", VALUE(REGEXREPLACE($I765, ""\,"", ""."")), """")"),"")</f>
        <v/>
      </c>
      <c r="O765" s="33" t="str">
        <f>IF(Account!$F765&lt;&gt;"", DATEVALUE(MID($A765,4,3) &amp; LEFT($A765,3) &amp; RIGHT($A765,4)) + TIMEVALUE($B765), "")</f>
        <v/>
      </c>
      <c r="P765" s="34" t="str">
        <f>IF(Account!$F765&lt;&gt;"", DATEVALUE(MID($C765,4,3) &amp; LEFT($C765,3) &amp; RIGHT($C765,4)), "")</f>
        <v/>
      </c>
      <c r="Q765" s="35" t="str">
        <f t="array" ref="Q765">IF($R765&lt;&gt;"",IFERROR(INDEX(Investment!$A:$A,MATCH($R765,Investment!$H:$H,0))),)</f>
        <v/>
      </c>
      <c r="R765" s="36" t="str">
        <f t="array" ref="R765">IF(AND($Y765="change",$H765="EUR"),IF(AND($AA765="Crédit",$O765=$O766),$R766,IF(AND($AA765="Débit",$O765=$O764),$R764)),IF(OR(AND(OR($E765&lt;&gt;"",$M765=""),$N765&lt;&gt;0),$A765=""),IFERROR(INDEX(Investment!$H:$H,MATCH($E765,Investment!$F:$F,0))),IFERROR(INDEX($R766:$R1119,MATCH(SUBSTITUTE($I765,"-","",1),$K766:$K1119,0)),INDEX($R766:$R1119,MATCH($K765,$K766:$K1119,0)))))</f>
        <v/>
      </c>
      <c r="S765" s="35" t="str">
        <f t="shared" si="2"/>
        <v/>
      </c>
      <c r="T765" s="37" t="str">
        <f t="shared" si="3"/>
        <v/>
      </c>
      <c r="U765" s="38" t="str">
        <f t="shared" si="4"/>
        <v/>
      </c>
      <c r="V765" s="31" t="str">
        <f t="shared" si="5"/>
        <v/>
      </c>
      <c r="W765" s="39" t="str">
        <f>IFERROR(__xludf.DUMMYFUNCTION(" IF(Account!$F765&lt;&gt;"""", SPLIT(Account!$F765, "" ""), """")"),"")</f>
        <v/>
      </c>
      <c r="X765" s="40"/>
      <c r="Y765" s="40"/>
      <c r="Z765" s="40"/>
      <c r="AA765" s="40"/>
      <c r="AB765" s="40"/>
      <c r="AC765" s="40"/>
      <c r="AD765" s="40"/>
      <c r="AE765" s="40"/>
      <c r="AF765" s="40"/>
      <c r="AG765" s="40"/>
      <c r="AH765" s="40"/>
      <c r="AI765" s="40"/>
      <c r="AJ765" s="40"/>
      <c r="AK765" s="40"/>
    </row>
    <row r="766">
      <c r="A766" s="300"/>
      <c r="B766" s="300"/>
      <c r="C766" s="300"/>
      <c r="D766" s="300"/>
      <c r="E766" s="300"/>
      <c r="F766" s="329"/>
      <c r="G766" s="300"/>
      <c r="H766" s="300"/>
      <c r="I766" s="300"/>
      <c r="J766" s="300"/>
      <c r="K766" s="300"/>
      <c r="L766" s="329"/>
      <c r="M766" s="29" t="str">
        <f t="shared" si="1"/>
        <v/>
      </c>
      <c r="N766" s="31" t="str">
        <f>IFERROR(__xludf.DUMMYFUNCTION("IF(Account!$F766&lt;&gt;"""", VALUE(REGEXREPLACE($I766, ""\,"", ""."")), """")"),"")</f>
        <v/>
      </c>
      <c r="O766" s="33" t="str">
        <f>IF(Account!$F766&lt;&gt;"", DATEVALUE(MID($A766,4,3) &amp; LEFT($A766,3) &amp; RIGHT($A766,4)) + TIMEVALUE($B766), "")</f>
        <v/>
      </c>
      <c r="P766" s="34" t="str">
        <f>IF(Account!$F766&lt;&gt;"", DATEVALUE(MID($C766,4,3) &amp; LEFT($C766,3) &amp; RIGHT($C766,4)), "")</f>
        <v/>
      </c>
      <c r="Q766" s="35" t="str">
        <f t="array" ref="Q766">IF($R766&lt;&gt;"",IFERROR(INDEX(Investment!$A:$A,MATCH($R766,Investment!$H:$H,0))),)</f>
        <v/>
      </c>
      <c r="R766" s="36" t="str">
        <f t="array" ref="R766">IF(AND($Y766="change",$H766="EUR"),IF(AND($AA766="Crédit",$O766=$O767),$R767,IF(AND($AA766="Débit",$O766=$O765),$R765)),IF(OR(AND(OR($E766&lt;&gt;"",$M766=""),$N766&lt;&gt;0),$A766=""),IFERROR(INDEX(Investment!$H:$H,MATCH($E766,Investment!$F:$F,0))),IFERROR(INDEX($R767:$R1119,MATCH(SUBSTITUTE($I766,"-","",1),$K767:$K1119,0)),INDEX($R767:$R1119,MATCH($K766,$K767:$K1119,0)))))</f>
        <v/>
      </c>
      <c r="S766" s="35" t="str">
        <f t="shared" si="2"/>
        <v/>
      </c>
      <c r="T766" s="37" t="str">
        <f t="shared" si="3"/>
        <v/>
      </c>
      <c r="U766" s="38" t="str">
        <f t="shared" si="4"/>
        <v/>
      </c>
      <c r="V766" s="31" t="str">
        <f t="shared" si="5"/>
        <v/>
      </c>
      <c r="W766" s="39" t="str">
        <f>IFERROR(__xludf.DUMMYFUNCTION(" IF(Account!$F766&lt;&gt;"""", SPLIT(Account!$F766, "" ""), """")"),"")</f>
        <v/>
      </c>
      <c r="X766" s="40"/>
      <c r="Y766" s="40"/>
      <c r="Z766" s="40"/>
      <c r="AA766" s="40"/>
      <c r="AB766" s="40"/>
      <c r="AC766" s="40"/>
      <c r="AD766" s="40"/>
      <c r="AE766" s="40"/>
      <c r="AF766" s="40"/>
      <c r="AG766" s="40"/>
      <c r="AH766" s="40"/>
      <c r="AI766" s="40"/>
      <c r="AJ766" s="40"/>
      <c r="AK766" s="40"/>
    </row>
    <row r="767">
      <c r="A767" s="300"/>
      <c r="B767" s="300"/>
      <c r="C767" s="300"/>
      <c r="D767" s="300"/>
      <c r="E767" s="300"/>
      <c r="F767" s="329"/>
      <c r="G767" s="300"/>
      <c r="H767" s="300"/>
      <c r="I767" s="300"/>
      <c r="J767" s="300"/>
      <c r="K767" s="300"/>
      <c r="L767" s="329"/>
      <c r="M767" s="29" t="str">
        <f t="shared" si="1"/>
        <v/>
      </c>
      <c r="N767" s="31" t="str">
        <f>IFERROR(__xludf.DUMMYFUNCTION("IF(Account!$F767&lt;&gt;"""", VALUE(REGEXREPLACE($I767, ""\,"", ""."")), """")"),"")</f>
        <v/>
      </c>
      <c r="O767" s="33" t="str">
        <f>IF(Account!$F767&lt;&gt;"", DATEVALUE(MID($A767,4,3) &amp; LEFT($A767,3) &amp; RIGHT($A767,4)) + TIMEVALUE($B767), "")</f>
        <v/>
      </c>
      <c r="P767" s="34" t="str">
        <f>IF(Account!$F767&lt;&gt;"", DATEVALUE(MID($C767,4,3) &amp; LEFT($C767,3) &amp; RIGHT($C767,4)), "")</f>
        <v/>
      </c>
      <c r="Q767" s="35" t="str">
        <f t="array" ref="Q767">IF($R767&lt;&gt;"",IFERROR(INDEX(Investment!$A:$A,MATCH($R767,Investment!$H:$H,0))),)</f>
        <v/>
      </c>
      <c r="R767" s="36" t="str">
        <f t="array" ref="R767">IF(AND($Y767="change",$H767="EUR"),IF(AND($AA767="Crédit",$O767=$O768),$R768,IF(AND($AA767="Débit",$O767=$O766),$R766)),IF(OR(AND(OR($E767&lt;&gt;"",$M767=""),$N767&lt;&gt;0),$A767=""),IFERROR(INDEX(Investment!$H:$H,MATCH($E767,Investment!$F:$F,0))),IFERROR(INDEX($R768:$R1119,MATCH(SUBSTITUTE($I767,"-","",1),$K768:$K1119,0)),INDEX($R768:$R1119,MATCH($K767,$K768:$K1119,0)))))</f>
        <v/>
      </c>
      <c r="S767" s="35" t="str">
        <f t="shared" si="2"/>
        <v/>
      </c>
      <c r="T767" s="37" t="str">
        <f t="shared" si="3"/>
        <v/>
      </c>
      <c r="U767" s="38" t="str">
        <f t="shared" si="4"/>
        <v/>
      </c>
      <c r="V767" s="31" t="str">
        <f t="shared" si="5"/>
        <v/>
      </c>
      <c r="W767" s="39" t="str">
        <f>IFERROR(__xludf.DUMMYFUNCTION(" IF(Account!$F767&lt;&gt;"""", SPLIT(Account!$F767, "" ""), """")"),"")</f>
        <v/>
      </c>
      <c r="X767" s="40"/>
      <c r="Y767" s="40"/>
      <c r="Z767" s="40"/>
      <c r="AA767" s="40"/>
      <c r="AB767" s="40"/>
      <c r="AC767" s="40"/>
      <c r="AD767" s="40"/>
      <c r="AE767" s="40"/>
      <c r="AF767" s="40"/>
      <c r="AG767" s="40"/>
      <c r="AH767" s="40"/>
      <c r="AI767" s="40"/>
      <c r="AJ767" s="40"/>
      <c r="AK767" s="40"/>
    </row>
    <row r="768">
      <c r="A768" s="300"/>
      <c r="B768" s="300"/>
      <c r="C768" s="300"/>
      <c r="D768" s="300"/>
      <c r="E768" s="300"/>
      <c r="F768" s="329"/>
      <c r="G768" s="300"/>
      <c r="H768" s="300"/>
      <c r="I768" s="300"/>
      <c r="J768" s="300"/>
      <c r="K768" s="300"/>
      <c r="L768" s="329"/>
      <c r="M768" s="29" t="str">
        <f t="shared" si="1"/>
        <v/>
      </c>
      <c r="N768" s="31" t="str">
        <f>IFERROR(__xludf.DUMMYFUNCTION("IF(Account!$F768&lt;&gt;"""", VALUE(REGEXREPLACE($I768, ""\,"", ""."")), """")"),"")</f>
        <v/>
      </c>
      <c r="O768" s="33" t="str">
        <f>IF(Account!$F768&lt;&gt;"", DATEVALUE(MID($A768,4,3) &amp; LEFT($A768,3) &amp; RIGHT($A768,4)) + TIMEVALUE($B768), "")</f>
        <v/>
      </c>
      <c r="P768" s="34" t="str">
        <f>IF(Account!$F768&lt;&gt;"", DATEVALUE(MID($C768,4,3) &amp; LEFT($C768,3) &amp; RIGHT($C768,4)), "")</f>
        <v/>
      </c>
      <c r="Q768" s="35" t="str">
        <f t="array" ref="Q768">IF($R768&lt;&gt;"",IFERROR(INDEX(Investment!$A:$A,MATCH($R768,Investment!$H:$H,0))),)</f>
        <v/>
      </c>
      <c r="R768" s="36" t="str">
        <f t="array" ref="R768">IF(AND($Y768="change",$H768="EUR"),IF(AND($AA768="Crédit",$O768=$O769),$R769,IF(AND($AA768="Débit",$O768=$O767),$R767)),IF(OR(AND(OR($E768&lt;&gt;"",$M768=""),$N768&lt;&gt;0),$A768=""),IFERROR(INDEX(Investment!$H:$H,MATCH($E768,Investment!$F:$F,0))),IFERROR(INDEX($R769:$R1119,MATCH(SUBSTITUTE($I768,"-","",1),$K769:$K1119,0)),INDEX($R769:$R1119,MATCH($K768,$K769:$K1119,0)))))</f>
        <v/>
      </c>
      <c r="S768" s="35" t="str">
        <f t="shared" si="2"/>
        <v/>
      </c>
      <c r="T768" s="37" t="str">
        <f t="shared" si="3"/>
        <v/>
      </c>
      <c r="U768" s="38" t="str">
        <f t="shared" si="4"/>
        <v/>
      </c>
      <c r="V768" s="31" t="str">
        <f t="shared" si="5"/>
        <v/>
      </c>
      <c r="W768" s="39" t="str">
        <f>IFERROR(__xludf.DUMMYFUNCTION(" IF(Account!$F768&lt;&gt;"""", SPLIT(Account!$F768, "" ""), """")"),"")</f>
        <v/>
      </c>
      <c r="X768" s="40"/>
      <c r="Y768" s="40"/>
      <c r="Z768" s="40"/>
      <c r="AA768" s="40"/>
      <c r="AB768" s="40"/>
      <c r="AC768" s="40"/>
      <c r="AD768" s="40"/>
      <c r="AE768" s="40"/>
      <c r="AF768" s="40"/>
      <c r="AG768" s="40"/>
      <c r="AH768" s="40"/>
      <c r="AI768" s="40"/>
      <c r="AJ768" s="40"/>
      <c r="AK768" s="40"/>
    </row>
    <row r="769">
      <c r="A769" s="300"/>
      <c r="B769" s="300"/>
      <c r="C769" s="300"/>
      <c r="D769" s="300"/>
      <c r="E769" s="300"/>
      <c r="F769" s="329"/>
      <c r="G769" s="300"/>
      <c r="H769" s="300"/>
      <c r="I769" s="300"/>
      <c r="J769" s="300"/>
      <c r="K769" s="300"/>
      <c r="L769" s="329"/>
      <c r="M769" s="29" t="str">
        <f t="shared" si="1"/>
        <v/>
      </c>
      <c r="N769" s="31" t="str">
        <f>IFERROR(__xludf.DUMMYFUNCTION("IF(Account!$F769&lt;&gt;"""", VALUE(REGEXREPLACE($I769, ""\,"", ""."")), """")"),"")</f>
        <v/>
      </c>
      <c r="O769" s="33" t="str">
        <f>IF(Account!$F769&lt;&gt;"", DATEVALUE(MID($A769,4,3) &amp; LEFT($A769,3) &amp; RIGHT($A769,4)) + TIMEVALUE($B769), "")</f>
        <v/>
      </c>
      <c r="P769" s="34" t="str">
        <f>IF(Account!$F769&lt;&gt;"", DATEVALUE(MID($C769,4,3) &amp; LEFT($C769,3) &amp; RIGHT($C769,4)), "")</f>
        <v/>
      </c>
      <c r="Q769" s="35" t="str">
        <f t="array" ref="Q769">IF($R769&lt;&gt;"",IFERROR(INDEX(Investment!$A:$A,MATCH($R769,Investment!$H:$H,0))),)</f>
        <v/>
      </c>
      <c r="R769" s="36" t="str">
        <f t="array" ref="R769">IF(AND($Y769="change",$H769="EUR"),IF(AND($AA769="Crédit",$O769=$O770),$R770,IF(AND($AA769="Débit",$O769=$O768),$R768)),IF(OR(AND(OR($E769&lt;&gt;"",$M769=""),$N769&lt;&gt;0),$A769=""),IFERROR(INDEX(Investment!$H:$H,MATCH($E769,Investment!$F:$F,0))),IFERROR(INDEX($R770:$R1119,MATCH(SUBSTITUTE($I769,"-","",1),$K770:$K1119,0)),INDEX($R770:$R1119,MATCH($K769,$K770:$K1119,0)))))</f>
        <v/>
      </c>
      <c r="S769" s="35" t="str">
        <f t="shared" si="2"/>
        <v/>
      </c>
      <c r="T769" s="37" t="str">
        <f t="shared" si="3"/>
        <v/>
      </c>
      <c r="U769" s="38" t="str">
        <f t="shared" si="4"/>
        <v/>
      </c>
      <c r="V769" s="31" t="str">
        <f t="shared" si="5"/>
        <v/>
      </c>
      <c r="W769" s="39" t="str">
        <f>IFERROR(__xludf.DUMMYFUNCTION(" IF(Account!$F769&lt;&gt;"""", SPLIT(Account!$F769, "" ""), """")"),"")</f>
        <v/>
      </c>
      <c r="X769" s="40"/>
      <c r="Y769" s="40"/>
      <c r="Z769" s="40"/>
      <c r="AA769" s="40"/>
      <c r="AB769" s="40"/>
      <c r="AC769" s="40"/>
      <c r="AD769" s="40"/>
      <c r="AE769" s="40"/>
      <c r="AF769" s="40"/>
      <c r="AG769" s="40"/>
      <c r="AH769" s="40"/>
      <c r="AI769" s="40"/>
      <c r="AJ769" s="40"/>
      <c r="AK769" s="40"/>
    </row>
    <row r="770">
      <c r="A770" s="300"/>
      <c r="B770" s="300"/>
      <c r="C770" s="300"/>
      <c r="D770" s="300"/>
      <c r="E770" s="300"/>
      <c r="F770" s="329"/>
      <c r="G770" s="300"/>
      <c r="H770" s="300"/>
      <c r="I770" s="300"/>
      <c r="J770" s="300"/>
      <c r="K770" s="300"/>
      <c r="L770" s="329"/>
      <c r="M770" s="29" t="str">
        <f t="shared" si="1"/>
        <v/>
      </c>
      <c r="N770" s="31" t="str">
        <f>IFERROR(__xludf.DUMMYFUNCTION("IF(Account!$F770&lt;&gt;"""", VALUE(REGEXREPLACE($I770, ""\,"", ""."")), """")"),"")</f>
        <v/>
      </c>
      <c r="O770" s="33" t="str">
        <f>IF(Account!$F770&lt;&gt;"", DATEVALUE(MID($A770,4,3) &amp; LEFT($A770,3) &amp; RIGHT($A770,4)) + TIMEVALUE($B770), "")</f>
        <v/>
      </c>
      <c r="P770" s="34" t="str">
        <f>IF(Account!$F770&lt;&gt;"", DATEVALUE(MID($C770,4,3) &amp; LEFT($C770,3) &amp; RIGHT($C770,4)), "")</f>
        <v/>
      </c>
      <c r="Q770" s="35" t="str">
        <f t="array" ref="Q770">IF($R770&lt;&gt;"",IFERROR(INDEX(Investment!$A:$A,MATCH($R770,Investment!$H:$H,0))),)</f>
        <v/>
      </c>
      <c r="R770" s="36" t="str">
        <f t="array" ref="R770">IF(AND($Y770="change",$H770="EUR"),IF(AND($AA770="Crédit",$O770=$O771),$R771,IF(AND($AA770="Débit",$O770=$O769),$R769)),IF(OR(AND(OR($E770&lt;&gt;"",$M770=""),$N770&lt;&gt;0),$A770=""),IFERROR(INDEX(Investment!$H:$H,MATCH($E770,Investment!$F:$F,0))),IFERROR(INDEX($R771:$R1119,MATCH(SUBSTITUTE($I770,"-","",1),$K771:$K1119,0)),INDEX($R771:$R1119,MATCH($K770,$K771:$K1119,0)))))</f>
        <v/>
      </c>
      <c r="S770" s="35" t="str">
        <f t="shared" si="2"/>
        <v/>
      </c>
      <c r="T770" s="37" t="str">
        <f t="shared" si="3"/>
        <v/>
      </c>
      <c r="U770" s="38" t="str">
        <f t="shared" si="4"/>
        <v/>
      </c>
      <c r="V770" s="31" t="str">
        <f t="shared" si="5"/>
        <v/>
      </c>
      <c r="W770" s="39" t="str">
        <f>IFERROR(__xludf.DUMMYFUNCTION(" IF(Account!$F770&lt;&gt;"""", SPLIT(Account!$F770, "" ""), """")"),"")</f>
        <v/>
      </c>
      <c r="X770" s="40"/>
      <c r="Y770" s="40"/>
      <c r="Z770" s="40"/>
      <c r="AA770" s="40"/>
      <c r="AB770" s="40"/>
      <c r="AC770" s="40"/>
      <c r="AD770" s="40"/>
      <c r="AE770" s="40"/>
      <c r="AF770" s="40"/>
      <c r="AG770" s="40"/>
      <c r="AH770" s="40"/>
      <c r="AI770" s="40"/>
      <c r="AJ770" s="40"/>
      <c r="AK770" s="40"/>
    </row>
    <row r="771">
      <c r="A771" s="300"/>
      <c r="B771" s="300"/>
      <c r="C771" s="300"/>
      <c r="D771" s="300"/>
      <c r="E771" s="300"/>
      <c r="F771" s="329"/>
      <c r="G771" s="300"/>
      <c r="H771" s="300"/>
      <c r="I771" s="300"/>
      <c r="J771" s="300"/>
      <c r="K771" s="300"/>
      <c r="L771" s="329"/>
      <c r="M771" s="29" t="str">
        <f t="shared" si="1"/>
        <v/>
      </c>
      <c r="N771" s="31" t="str">
        <f>IFERROR(__xludf.DUMMYFUNCTION("IF(Account!$F771&lt;&gt;"""", VALUE(REGEXREPLACE($I771, ""\,"", ""."")), """")"),"")</f>
        <v/>
      </c>
      <c r="O771" s="33" t="str">
        <f>IF(Account!$F771&lt;&gt;"", DATEVALUE(MID($A771,4,3) &amp; LEFT($A771,3) &amp; RIGHT($A771,4)) + TIMEVALUE($B771), "")</f>
        <v/>
      </c>
      <c r="P771" s="34" t="str">
        <f>IF(Account!$F771&lt;&gt;"", DATEVALUE(MID($C771,4,3) &amp; LEFT($C771,3) &amp; RIGHT($C771,4)), "")</f>
        <v/>
      </c>
      <c r="Q771" s="35" t="str">
        <f t="array" ref="Q771">IF($R771&lt;&gt;"",IFERROR(INDEX(Investment!$A:$A,MATCH($R771,Investment!$H:$H,0))),)</f>
        <v/>
      </c>
      <c r="R771" s="36" t="str">
        <f t="array" ref="R771">IF(AND($Y771="change",$H771="EUR"),IF(AND($AA771="Crédit",$O771=$O772),$R772,IF(AND($AA771="Débit",$O771=$O770),$R770)),IF(OR(AND(OR($E771&lt;&gt;"",$M771=""),$N771&lt;&gt;0),$A771=""),IFERROR(INDEX(Investment!$H:$H,MATCH($E771,Investment!$F:$F,0))),IFERROR(INDEX($R772:$R1119,MATCH(SUBSTITUTE($I771,"-","",1),$K772:$K1119,0)),INDEX($R772:$R1119,MATCH($K771,$K772:$K1119,0)))))</f>
        <v/>
      </c>
      <c r="S771" s="35" t="str">
        <f t="shared" si="2"/>
        <v/>
      </c>
      <c r="T771" s="37" t="str">
        <f t="shared" si="3"/>
        <v/>
      </c>
      <c r="U771" s="38" t="str">
        <f t="shared" si="4"/>
        <v/>
      </c>
      <c r="V771" s="31" t="str">
        <f t="shared" si="5"/>
        <v/>
      </c>
      <c r="W771" s="39" t="str">
        <f>IFERROR(__xludf.DUMMYFUNCTION(" IF(Account!$F771&lt;&gt;"""", SPLIT(Account!$F771, "" ""), """")"),"")</f>
        <v/>
      </c>
      <c r="X771" s="40"/>
      <c r="Y771" s="40"/>
      <c r="Z771" s="40"/>
      <c r="AA771" s="40"/>
      <c r="AB771" s="40"/>
      <c r="AC771" s="40"/>
      <c r="AD771" s="40"/>
      <c r="AE771" s="40"/>
      <c r="AF771" s="40"/>
      <c r="AG771" s="40"/>
      <c r="AH771" s="40"/>
      <c r="AI771" s="40"/>
      <c r="AJ771" s="40"/>
      <c r="AK771" s="40"/>
    </row>
    <row r="772">
      <c r="A772" s="300"/>
      <c r="B772" s="300"/>
      <c r="C772" s="300"/>
      <c r="D772" s="300"/>
      <c r="E772" s="300"/>
      <c r="F772" s="329"/>
      <c r="G772" s="300"/>
      <c r="H772" s="300"/>
      <c r="I772" s="300"/>
      <c r="J772" s="300"/>
      <c r="K772" s="300"/>
      <c r="L772" s="329"/>
      <c r="M772" s="29" t="str">
        <f t="shared" si="1"/>
        <v/>
      </c>
      <c r="N772" s="31" t="str">
        <f>IFERROR(__xludf.DUMMYFUNCTION("IF(Account!$F772&lt;&gt;"""", VALUE(REGEXREPLACE($I772, ""\,"", ""."")), """")"),"")</f>
        <v/>
      </c>
      <c r="O772" s="33" t="str">
        <f>IF(Account!$F772&lt;&gt;"", DATEVALUE(MID($A772,4,3) &amp; LEFT($A772,3) &amp; RIGHT($A772,4)) + TIMEVALUE($B772), "")</f>
        <v/>
      </c>
      <c r="P772" s="34" t="str">
        <f>IF(Account!$F772&lt;&gt;"", DATEVALUE(MID($C772,4,3) &amp; LEFT($C772,3) &amp; RIGHT($C772,4)), "")</f>
        <v/>
      </c>
      <c r="Q772" s="35" t="str">
        <f t="array" ref="Q772">IF($R772&lt;&gt;"",IFERROR(INDEX(Investment!$A:$A,MATCH($R772,Investment!$H:$H,0))),)</f>
        <v/>
      </c>
      <c r="R772" s="36" t="str">
        <f t="array" ref="R772">IF(AND($Y772="change",$H772="EUR"),IF(AND($AA772="Crédit",$O772=$O773),$R773,IF(AND($AA772="Débit",$O772=$O771),$R771)),IF(OR(AND(OR($E772&lt;&gt;"",$M772=""),$N772&lt;&gt;0),$A772=""),IFERROR(INDEX(Investment!$H:$H,MATCH($E772,Investment!$F:$F,0))),IFERROR(INDEX($R773:$R1119,MATCH(SUBSTITUTE($I772,"-","",1),$K773:$K1119,0)),INDEX($R773:$R1119,MATCH($K772,$K773:$K1119,0)))))</f>
        <v/>
      </c>
      <c r="S772" s="35" t="str">
        <f t="shared" si="2"/>
        <v/>
      </c>
      <c r="T772" s="37" t="str">
        <f t="shared" si="3"/>
        <v/>
      </c>
      <c r="U772" s="38" t="str">
        <f t="shared" si="4"/>
        <v/>
      </c>
      <c r="V772" s="31" t="str">
        <f t="shared" si="5"/>
        <v/>
      </c>
      <c r="W772" s="39" t="str">
        <f>IFERROR(__xludf.DUMMYFUNCTION(" IF(Account!$F772&lt;&gt;"""", SPLIT(Account!$F772, "" ""), """")"),"")</f>
        <v/>
      </c>
      <c r="X772" s="40"/>
      <c r="Y772" s="40"/>
      <c r="Z772" s="40"/>
      <c r="AA772" s="40"/>
      <c r="AB772" s="40"/>
      <c r="AC772" s="40"/>
      <c r="AD772" s="40"/>
      <c r="AE772" s="40"/>
      <c r="AF772" s="40"/>
      <c r="AG772" s="40"/>
      <c r="AH772" s="40"/>
      <c r="AI772" s="40"/>
      <c r="AJ772" s="40"/>
      <c r="AK772" s="40"/>
    </row>
    <row r="773">
      <c r="A773" s="300"/>
      <c r="B773" s="300"/>
      <c r="C773" s="300"/>
      <c r="D773" s="300"/>
      <c r="E773" s="300"/>
      <c r="F773" s="329"/>
      <c r="G773" s="300"/>
      <c r="H773" s="300"/>
      <c r="I773" s="300"/>
      <c r="J773" s="300"/>
      <c r="K773" s="300"/>
      <c r="L773" s="329"/>
      <c r="M773" s="29" t="str">
        <f t="shared" si="1"/>
        <v/>
      </c>
      <c r="N773" s="31" t="str">
        <f>IFERROR(__xludf.DUMMYFUNCTION("IF(Account!$F773&lt;&gt;"""", VALUE(REGEXREPLACE($I773, ""\,"", ""."")), """")"),"")</f>
        <v/>
      </c>
      <c r="O773" s="33" t="str">
        <f>IF(Account!$F773&lt;&gt;"", DATEVALUE(MID($A773,4,3) &amp; LEFT($A773,3) &amp; RIGHT($A773,4)) + TIMEVALUE($B773), "")</f>
        <v/>
      </c>
      <c r="P773" s="34" t="str">
        <f>IF(Account!$F773&lt;&gt;"", DATEVALUE(MID($C773,4,3) &amp; LEFT($C773,3) &amp; RIGHT($C773,4)), "")</f>
        <v/>
      </c>
      <c r="Q773" s="35" t="str">
        <f t="array" ref="Q773">IF($R773&lt;&gt;"",IFERROR(INDEX(Investment!$A:$A,MATCH($R773,Investment!$H:$H,0))),)</f>
        <v/>
      </c>
      <c r="R773" s="36" t="str">
        <f t="array" ref="R773">IF(AND($Y773="change",$H773="EUR"),IF(AND($AA773="Crédit",$O773=$O774),$R774,IF(AND($AA773="Débit",$O773=$O772),$R772)),IF(OR(AND(OR($E773&lt;&gt;"",$M773=""),$N773&lt;&gt;0),$A773=""),IFERROR(INDEX(Investment!$H:$H,MATCH($E773,Investment!$F:$F,0))),IFERROR(INDEX($R774:$R1119,MATCH(SUBSTITUTE($I773,"-","",1),$K774:$K1119,0)),INDEX($R774:$R1119,MATCH($K773,$K774:$K1119,0)))))</f>
        <v/>
      </c>
      <c r="S773" s="35" t="str">
        <f t="shared" si="2"/>
        <v/>
      </c>
      <c r="T773" s="37" t="str">
        <f t="shared" si="3"/>
        <v/>
      </c>
      <c r="U773" s="38" t="str">
        <f t="shared" si="4"/>
        <v/>
      </c>
      <c r="V773" s="31" t="str">
        <f t="shared" si="5"/>
        <v/>
      </c>
      <c r="W773" s="39" t="str">
        <f>IFERROR(__xludf.DUMMYFUNCTION(" IF(Account!$F773&lt;&gt;"""", SPLIT(Account!$F773, "" ""), """")"),"")</f>
        <v/>
      </c>
      <c r="X773" s="40"/>
      <c r="Y773" s="40"/>
      <c r="Z773" s="40"/>
      <c r="AA773" s="40"/>
      <c r="AB773" s="40"/>
      <c r="AC773" s="40"/>
      <c r="AD773" s="40"/>
      <c r="AE773" s="40"/>
      <c r="AF773" s="40"/>
      <c r="AG773" s="40"/>
      <c r="AH773" s="40"/>
      <c r="AI773" s="40"/>
      <c r="AJ773" s="40"/>
      <c r="AK773" s="40"/>
    </row>
    <row r="774">
      <c r="A774" s="300"/>
      <c r="B774" s="300"/>
      <c r="C774" s="300"/>
      <c r="D774" s="300"/>
      <c r="E774" s="300"/>
      <c r="F774" s="329"/>
      <c r="G774" s="300"/>
      <c r="H774" s="300"/>
      <c r="I774" s="300"/>
      <c r="J774" s="300"/>
      <c r="K774" s="300"/>
      <c r="L774" s="329"/>
      <c r="M774" s="29" t="str">
        <f t="shared" si="1"/>
        <v/>
      </c>
      <c r="N774" s="31" t="str">
        <f>IFERROR(__xludf.DUMMYFUNCTION("IF(Account!$F774&lt;&gt;"""", VALUE(REGEXREPLACE($I774, ""\,"", ""."")), """")"),"")</f>
        <v/>
      </c>
      <c r="O774" s="33" t="str">
        <f>IF(Account!$F774&lt;&gt;"", DATEVALUE(MID($A774,4,3) &amp; LEFT($A774,3) &amp; RIGHT($A774,4)) + TIMEVALUE($B774), "")</f>
        <v/>
      </c>
      <c r="P774" s="34" t="str">
        <f>IF(Account!$F774&lt;&gt;"", DATEVALUE(MID($C774,4,3) &amp; LEFT($C774,3) &amp; RIGHT($C774,4)), "")</f>
        <v/>
      </c>
      <c r="Q774" s="35" t="str">
        <f t="array" ref="Q774">IF($R774&lt;&gt;"",IFERROR(INDEX(Investment!$A:$A,MATCH($R774,Investment!$H:$H,0))),)</f>
        <v/>
      </c>
      <c r="R774" s="36" t="str">
        <f t="array" ref="R774">IF(AND($Y774="change",$H774="EUR"),IF(AND($AA774="Crédit",$O774=$O775),$R775,IF(AND($AA774="Débit",$O774=$O773),$R773)),IF(OR(AND(OR($E774&lt;&gt;"",$M774=""),$N774&lt;&gt;0),$A774=""),IFERROR(INDEX(Investment!$H:$H,MATCH($E774,Investment!$F:$F,0))),IFERROR(INDEX($R775:$R1119,MATCH(SUBSTITUTE($I774,"-","",1),$K775:$K1119,0)),INDEX($R775:$R1119,MATCH($K774,$K775:$K1119,0)))))</f>
        <v/>
      </c>
      <c r="S774" s="35" t="str">
        <f t="shared" si="2"/>
        <v/>
      </c>
      <c r="T774" s="37" t="str">
        <f t="shared" si="3"/>
        <v/>
      </c>
      <c r="U774" s="38" t="str">
        <f t="shared" si="4"/>
        <v/>
      </c>
      <c r="V774" s="31" t="str">
        <f t="shared" si="5"/>
        <v/>
      </c>
      <c r="W774" s="39" t="str">
        <f>IFERROR(__xludf.DUMMYFUNCTION(" IF(Account!$F774&lt;&gt;"""", SPLIT(Account!$F774, "" ""), """")"),"")</f>
        <v/>
      </c>
      <c r="X774" s="40"/>
      <c r="Y774" s="40"/>
      <c r="Z774" s="40"/>
      <c r="AA774" s="40"/>
      <c r="AB774" s="40"/>
      <c r="AC774" s="40"/>
      <c r="AD774" s="40"/>
      <c r="AE774" s="40"/>
      <c r="AF774" s="40"/>
      <c r="AG774" s="40"/>
      <c r="AH774" s="40"/>
      <c r="AI774" s="40"/>
      <c r="AJ774" s="40"/>
      <c r="AK774" s="40"/>
    </row>
    <row r="775">
      <c r="A775" s="300"/>
      <c r="B775" s="300"/>
      <c r="C775" s="300"/>
      <c r="D775" s="300"/>
      <c r="E775" s="300"/>
      <c r="F775" s="329"/>
      <c r="G775" s="300"/>
      <c r="H775" s="300"/>
      <c r="I775" s="300"/>
      <c r="J775" s="300"/>
      <c r="K775" s="300"/>
      <c r="L775" s="329"/>
      <c r="M775" s="29" t="str">
        <f t="shared" si="1"/>
        <v/>
      </c>
      <c r="N775" s="31" t="str">
        <f>IFERROR(__xludf.DUMMYFUNCTION("IF(Account!$F775&lt;&gt;"""", VALUE(REGEXREPLACE($I775, ""\,"", ""."")), """")"),"")</f>
        <v/>
      </c>
      <c r="O775" s="33" t="str">
        <f>IF(Account!$F775&lt;&gt;"", DATEVALUE(MID($A775,4,3) &amp; LEFT($A775,3) &amp; RIGHT($A775,4)) + TIMEVALUE($B775), "")</f>
        <v/>
      </c>
      <c r="P775" s="34" t="str">
        <f>IF(Account!$F775&lt;&gt;"", DATEVALUE(MID($C775,4,3) &amp; LEFT($C775,3) &amp; RIGHT($C775,4)), "")</f>
        <v/>
      </c>
      <c r="Q775" s="35" t="str">
        <f t="array" ref="Q775">IF($R775&lt;&gt;"",IFERROR(INDEX(Investment!$A:$A,MATCH($R775,Investment!$H:$H,0))),)</f>
        <v/>
      </c>
      <c r="R775" s="36" t="str">
        <f t="array" ref="R775">IF(AND($Y775="change",$H775="EUR"),IF(AND($AA775="Crédit",$O775=$O776),$R776,IF(AND($AA775="Débit",$O775=$O774),$R774)),IF(OR(AND(OR($E775&lt;&gt;"",$M775=""),$N775&lt;&gt;0),$A775=""),IFERROR(INDEX(Investment!$H:$H,MATCH($E775,Investment!$F:$F,0))),IFERROR(INDEX($R776:$R1119,MATCH(SUBSTITUTE($I775,"-","",1),$K776:$K1119,0)),INDEX($R776:$R1119,MATCH($K775,$K776:$K1119,0)))))</f>
        <v/>
      </c>
      <c r="S775" s="35" t="str">
        <f t="shared" si="2"/>
        <v/>
      </c>
      <c r="T775" s="37" t="str">
        <f t="shared" si="3"/>
        <v/>
      </c>
      <c r="U775" s="38" t="str">
        <f t="shared" si="4"/>
        <v/>
      </c>
      <c r="V775" s="31" t="str">
        <f t="shared" si="5"/>
        <v/>
      </c>
      <c r="W775" s="39" t="str">
        <f>IFERROR(__xludf.DUMMYFUNCTION(" IF(Account!$F775&lt;&gt;"""", SPLIT(Account!$F775, "" ""), """")"),"")</f>
        <v/>
      </c>
      <c r="X775" s="40"/>
      <c r="Y775" s="40"/>
      <c r="Z775" s="40"/>
      <c r="AA775" s="40"/>
      <c r="AB775" s="40"/>
      <c r="AC775" s="40"/>
      <c r="AD775" s="40"/>
      <c r="AE775" s="40"/>
      <c r="AF775" s="40"/>
      <c r="AG775" s="40"/>
      <c r="AH775" s="40"/>
      <c r="AI775" s="40"/>
      <c r="AJ775" s="40"/>
      <c r="AK775" s="40"/>
    </row>
    <row r="776">
      <c r="A776" s="300"/>
      <c r="B776" s="300"/>
      <c r="C776" s="300"/>
      <c r="D776" s="300"/>
      <c r="E776" s="300"/>
      <c r="F776" s="329"/>
      <c r="G776" s="300"/>
      <c r="H776" s="300"/>
      <c r="I776" s="300"/>
      <c r="J776" s="300"/>
      <c r="K776" s="300"/>
      <c r="L776" s="329"/>
      <c r="M776" s="29" t="str">
        <f t="shared" si="1"/>
        <v/>
      </c>
      <c r="N776" s="31" t="str">
        <f>IFERROR(__xludf.DUMMYFUNCTION("IF(Account!$F776&lt;&gt;"""", VALUE(REGEXREPLACE($I776, ""\,"", ""."")), """")"),"")</f>
        <v/>
      </c>
      <c r="O776" s="33" t="str">
        <f>IF(Account!$F776&lt;&gt;"", DATEVALUE(MID($A776,4,3) &amp; LEFT($A776,3) &amp; RIGHT($A776,4)) + TIMEVALUE($B776), "")</f>
        <v/>
      </c>
      <c r="P776" s="34" t="str">
        <f>IF(Account!$F776&lt;&gt;"", DATEVALUE(MID($C776,4,3) &amp; LEFT($C776,3) &amp; RIGHT($C776,4)), "")</f>
        <v/>
      </c>
      <c r="Q776" s="35" t="str">
        <f t="array" ref="Q776">IF($R776&lt;&gt;"",IFERROR(INDEX(Investment!$A:$A,MATCH($R776,Investment!$H:$H,0))),)</f>
        <v/>
      </c>
      <c r="R776" s="36" t="str">
        <f t="array" ref="R776">IF(AND($Y776="change",$H776="EUR"),IF(AND($AA776="Crédit",$O776=$O777),$R777,IF(AND($AA776="Débit",$O776=$O775),$R775)),IF(OR(AND(OR($E776&lt;&gt;"",$M776=""),$N776&lt;&gt;0),$A776=""),IFERROR(INDEX(Investment!$H:$H,MATCH($E776,Investment!$F:$F,0))),IFERROR(INDEX($R777:$R1119,MATCH(SUBSTITUTE($I776,"-","",1),$K777:$K1119,0)),INDEX($R777:$R1119,MATCH($K776,$K777:$K1119,0)))))</f>
        <v/>
      </c>
      <c r="S776" s="35" t="str">
        <f t="shared" si="2"/>
        <v/>
      </c>
      <c r="T776" s="37" t="str">
        <f t="shared" si="3"/>
        <v/>
      </c>
      <c r="U776" s="38" t="str">
        <f t="shared" si="4"/>
        <v/>
      </c>
      <c r="V776" s="31" t="str">
        <f t="shared" si="5"/>
        <v/>
      </c>
      <c r="W776" s="39" t="str">
        <f>IFERROR(__xludf.DUMMYFUNCTION(" IF(Account!$F776&lt;&gt;"""", SPLIT(Account!$F776, "" ""), """")"),"")</f>
        <v/>
      </c>
      <c r="X776" s="40"/>
      <c r="Y776" s="40"/>
      <c r="Z776" s="40"/>
      <c r="AA776" s="40"/>
      <c r="AB776" s="40"/>
      <c r="AC776" s="40"/>
      <c r="AD776" s="40"/>
      <c r="AE776" s="40"/>
      <c r="AF776" s="40"/>
      <c r="AG776" s="40"/>
      <c r="AH776" s="40"/>
      <c r="AI776" s="40"/>
      <c r="AJ776" s="40"/>
      <c r="AK776" s="40"/>
    </row>
    <row r="777">
      <c r="A777" s="300"/>
      <c r="B777" s="300"/>
      <c r="C777" s="300"/>
      <c r="D777" s="300"/>
      <c r="E777" s="300"/>
      <c r="F777" s="329"/>
      <c r="G777" s="300"/>
      <c r="H777" s="300"/>
      <c r="I777" s="300"/>
      <c r="J777" s="300"/>
      <c r="K777" s="300"/>
      <c r="L777" s="329"/>
      <c r="M777" s="29" t="str">
        <f t="shared" si="1"/>
        <v/>
      </c>
      <c r="N777" s="31" t="str">
        <f>IFERROR(__xludf.DUMMYFUNCTION("IF(Account!$F777&lt;&gt;"""", VALUE(REGEXREPLACE($I777, ""\,"", ""."")), """")"),"")</f>
        <v/>
      </c>
      <c r="O777" s="33" t="str">
        <f>IF(Account!$F777&lt;&gt;"", DATEVALUE(MID($A777,4,3) &amp; LEFT($A777,3) &amp; RIGHT($A777,4)) + TIMEVALUE($B777), "")</f>
        <v/>
      </c>
      <c r="P777" s="34" t="str">
        <f>IF(Account!$F777&lt;&gt;"", DATEVALUE(MID($C777,4,3) &amp; LEFT($C777,3) &amp; RIGHT($C777,4)), "")</f>
        <v/>
      </c>
      <c r="Q777" s="35" t="str">
        <f t="array" ref="Q777">IF($R777&lt;&gt;"",IFERROR(INDEX(Investment!$A:$A,MATCH($R777,Investment!$H:$H,0))),)</f>
        <v/>
      </c>
      <c r="R777" s="36" t="str">
        <f t="array" ref="R777">IF(AND($Y777="change",$H777="EUR"),IF(AND($AA777="Crédit",$O777=$O778),$R778,IF(AND($AA777="Débit",$O777=$O776),$R776)),IF(OR(AND(OR($E777&lt;&gt;"",$M777=""),$N777&lt;&gt;0),$A777=""),IFERROR(INDEX(Investment!$H:$H,MATCH($E777,Investment!$F:$F,0))),IFERROR(INDEX($R778:$R1119,MATCH(SUBSTITUTE($I777,"-","",1),$K778:$K1119,0)),INDEX($R778:$R1119,MATCH($K777,$K778:$K1119,0)))))</f>
        <v/>
      </c>
      <c r="S777" s="35" t="str">
        <f t="shared" si="2"/>
        <v/>
      </c>
      <c r="T777" s="37" t="str">
        <f t="shared" si="3"/>
        <v/>
      </c>
      <c r="U777" s="38" t="str">
        <f t="shared" si="4"/>
        <v/>
      </c>
      <c r="V777" s="31" t="str">
        <f t="shared" si="5"/>
        <v/>
      </c>
      <c r="W777" s="39" t="str">
        <f>IFERROR(__xludf.DUMMYFUNCTION(" IF(Account!$F777&lt;&gt;"""", SPLIT(Account!$F777, "" ""), """")"),"")</f>
        <v/>
      </c>
      <c r="X777" s="40"/>
      <c r="Y777" s="40"/>
      <c r="Z777" s="40"/>
      <c r="AA777" s="40"/>
      <c r="AB777" s="40"/>
      <c r="AC777" s="40"/>
      <c r="AD777" s="40"/>
      <c r="AE777" s="40"/>
      <c r="AF777" s="40"/>
      <c r="AG777" s="40"/>
      <c r="AH777" s="40"/>
      <c r="AI777" s="40"/>
      <c r="AJ777" s="40"/>
      <c r="AK777" s="40"/>
    </row>
    <row r="778">
      <c r="A778" s="300"/>
      <c r="B778" s="300"/>
      <c r="C778" s="300"/>
      <c r="D778" s="300"/>
      <c r="E778" s="300"/>
      <c r="F778" s="329"/>
      <c r="G778" s="300"/>
      <c r="H778" s="300"/>
      <c r="I778" s="300"/>
      <c r="J778" s="300"/>
      <c r="K778" s="300"/>
      <c r="L778" s="329"/>
      <c r="M778" s="29" t="str">
        <f t="shared" si="1"/>
        <v/>
      </c>
      <c r="N778" s="31" t="str">
        <f>IFERROR(__xludf.DUMMYFUNCTION("IF(Account!$F778&lt;&gt;"""", VALUE(REGEXREPLACE($I778, ""\,"", ""."")), """")"),"")</f>
        <v/>
      </c>
      <c r="O778" s="33" t="str">
        <f>IF(Account!$F778&lt;&gt;"", DATEVALUE(MID($A778,4,3) &amp; LEFT($A778,3) &amp; RIGHT($A778,4)) + TIMEVALUE($B778), "")</f>
        <v/>
      </c>
      <c r="P778" s="34" t="str">
        <f>IF(Account!$F778&lt;&gt;"", DATEVALUE(MID($C778,4,3) &amp; LEFT($C778,3) &amp; RIGHT($C778,4)), "")</f>
        <v/>
      </c>
      <c r="Q778" s="35" t="str">
        <f t="array" ref="Q778">IF($R778&lt;&gt;"",IFERROR(INDEX(Investment!$A:$A,MATCH($R778,Investment!$H:$H,0))),)</f>
        <v/>
      </c>
      <c r="R778" s="36" t="str">
        <f t="array" ref="R778">IF(AND($Y778="change",$H778="EUR"),IF(AND($AA778="Crédit",$O778=$O779),$R779,IF(AND($AA778="Débit",$O778=$O777),$R777)),IF(OR(AND(OR($E778&lt;&gt;"",$M778=""),$N778&lt;&gt;0),$A778=""),IFERROR(INDEX(Investment!$H:$H,MATCH($E778,Investment!$F:$F,0))),IFERROR(INDEX($R779:$R1119,MATCH(SUBSTITUTE($I778,"-","",1),$K779:$K1119,0)),INDEX($R779:$R1119,MATCH($K778,$K779:$K1119,0)))))</f>
        <v/>
      </c>
      <c r="S778" s="35" t="str">
        <f t="shared" si="2"/>
        <v/>
      </c>
      <c r="T778" s="37" t="str">
        <f t="shared" si="3"/>
        <v/>
      </c>
      <c r="U778" s="38" t="str">
        <f t="shared" si="4"/>
        <v/>
      </c>
      <c r="V778" s="31" t="str">
        <f t="shared" si="5"/>
        <v/>
      </c>
      <c r="W778" s="39" t="str">
        <f>IFERROR(__xludf.DUMMYFUNCTION(" IF(Account!$F778&lt;&gt;"""", SPLIT(Account!$F778, "" ""), """")"),"")</f>
        <v/>
      </c>
      <c r="X778" s="40"/>
      <c r="Y778" s="40"/>
      <c r="Z778" s="40"/>
      <c r="AA778" s="40"/>
      <c r="AB778" s="40"/>
      <c r="AC778" s="40"/>
      <c r="AD778" s="40"/>
      <c r="AE778" s="40"/>
      <c r="AF778" s="40"/>
      <c r="AG778" s="40"/>
      <c r="AH778" s="40"/>
      <c r="AI778" s="40"/>
      <c r="AJ778" s="40"/>
      <c r="AK778" s="40"/>
    </row>
    <row r="779">
      <c r="A779" s="300"/>
      <c r="B779" s="300"/>
      <c r="C779" s="300"/>
      <c r="D779" s="300"/>
      <c r="E779" s="300"/>
      <c r="F779" s="329"/>
      <c r="G779" s="300"/>
      <c r="H779" s="300"/>
      <c r="I779" s="300"/>
      <c r="J779" s="300"/>
      <c r="K779" s="300"/>
      <c r="L779" s="329"/>
      <c r="M779" s="29" t="str">
        <f t="shared" si="1"/>
        <v/>
      </c>
      <c r="N779" s="31" t="str">
        <f>IFERROR(__xludf.DUMMYFUNCTION("IF(Account!$F779&lt;&gt;"""", VALUE(REGEXREPLACE($I779, ""\,"", ""."")), """")"),"")</f>
        <v/>
      </c>
      <c r="O779" s="33" t="str">
        <f>IF(Account!$F779&lt;&gt;"", DATEVALUE(MID($A779,4,3) &amp; LEFT($A779,3) &amp; RIGHT($A779,4)) + TIMEVALUE($B779), "")</f>
        <v/>
      </c>
      <c r="P779" s="34" t="str">
        <f>IF(Account!$F779&lt;&gt;"", DATEVALUE(MID($C779,4,3) &amp; LEFT($C779,3) &amp; RIGHT($C779,4)), "")</f>
        <v/>
      </c>
      <c r="Q779" s="35" t="str">
        <f t="array" ref="Q779">IF($R779&lt;&gt;"",IFERROR(INDEX(Investment!$A:$A,MATCH($R779,Investment!$H:$H,0))),)</f>
        <v/>
      </c>
      <c r="R779" s="36" t="str">
        <f t="array" ref="R779">IF(AND($Y779="change",$H779="EUR"),IF(AND($AA779="Crédit",$O779=$O780),$R780,IF(AND($AA779="Débit",$O779=$O778),$R778)),IF(OR(AND(OR($E779&lt;&gt;"",$M779=""),$N779&lt;&gt;0),$A779=""),IFERROR(INDEX(Investment!$H:$H,MATCH($E779,Investment!$F:$F,0))),IFERROR(INDEX($R780:$R1119,MATCH(SUBSTITUTE($I779,"-","",1),$K780:$K1119,0)),INDEX($R780:$R1119,MATCH($K779,$K780:$K1119,0)))))</f>
        <v/>
      </c>
      <c r="S779" s="35" t="str">
        <f t="shared" si="2"/>
        <v/>
      </c>
      <c r="T779" s="37" t="str">
        <f t="shared" si="3"/>
        <v/>
      </c>
      <c r="U779" s="38" t="str">
        <f t="shared" si="4"/>
        <v/>
      </c>
      <c r="V779" s="31" t="str">
        <f t="shared" si="5"/>
        <v/>
      </c>
      <c r="W779" s="39" t="str">
        <f>IFERROR(__xludf.DUMMYFUNCTION(" IF(Account!$F779&lt;&gt;"""", SPLIT(Account!$F779, "" ""), """")"),"")</f>
        <v/>
      </c>
      <c r="X779" s="40"/>
      <c r="Y779" s="40"/>
      <c r="Z779" s="40"/>
      <c r="AA779" s="40"/>
      <c r="AB779" s="40"/>
      <c r="AC779" s="40"/>
      <c r="AD779" s="40"/>
      <c r="AE779" s="40"/>
      <c r="AF779" s="40"/>
      <c r="AG779" s="40"/>
      <c r="AH779" s="40"/>
      <c r="AI779" s="40"/>
      <c r="AJ779" s="40"/>
      <c r="AK779" s="40"/>
    </row>
    <row r="780">
      <c r="A780" s="300"/>
      <c r="B780" s="300"/>
      <c r="C780" s="300"/>
      <c r="D780" s="300"/>
      <c r="E780" s="300"/>
      <c r="F780" s="329"/>
      <c r="G780" s="300"/>
      <c r="H780" s="300"/>
      <c r="I780" s="300"/>
      <c r="J780" s="300"/>
      <c r="K780" s="300"/>
      <c r="L780" s="329"/>
      <c r="M780" s="29" t="str">
        <f t="shared" si="1"/>
        <v/>
      </c>
      <c r="N780" s="31" t="str">
        <f>IFERROR(__xludf.DUMMYFUNCTION("IF(Account!$F780&lt;&gt;"""", VALUE(REGEXREPLACE($I780, ""\,"", ""."")), """")"),"")</f>
        <v/>
      </c>
      <c r="O780" s="33" t="str">
        <f>IF(Account!$F780&lt;&gt;"", DATEVALUE(MID($A780,4,3) &amp; LEFT($A780,3) &amp; RIGHT($A780,4)) + TIMEVALUE($B780), "")</f>
        <v/>
      </c>
      <c r="P780" s="34" t="str">
        <f>IF(Account!$F780&lt;&gt;"", DATEVALUE(MID($C780,4,3) &amp; LEFT($C780,3) &amp; RIGHT($C780,4)), "")</f>
        <v/>
      </c>
      <c r="Q780" s="35" t="str">
        <f t="array" ref="Q780">IF($R780&lt;&gt;"",IFERROR(INDEX(Investment!$A:$A,MATCH($R780,Investment!$H:$H,0))),)</f>
        <v/>
      </c>
      <c r="R780" s="36" t="str">
        <f t="array" ref="R780">IF(AND($Y780="change",$H780="EUR"),IF(AND($AA780="Crédit",$O780=$O781),$R781,IF(AND($AA780="Débit",$O780=$O779),$R779)),IF(OR(AND(OR($E780&lt;&gt;"",$M780=""),$N780&lt;&gt;0),$A780=""),IFERROR(INDEX(Investment!$H:$H,MATCH($E780,Investment!$F:$F,0))),IFERROR(INDEX($R781:$R1119,MATCH(SUBSTITUTE($I780,"-","",1),$K781:$K1119,0)),INDEX($R781:$R1119,MATCH($K780,$K781:$K1119,0)))))</f>
        <v/>
      </c>
      <c r="S780" s="35" t="str">
        <f t="shared" si="2"/>
        <v/>
      </c>
      <c r="T780" s="37" t="str">
        <f t="shared" si="3"/>
        <v/>
      </c>
      <c r="U780" s="38" t="str">
        <f t="shared" si="4"/>
        <v/>
      </c>
      <c r="V780" s="31" t="str">
        <f t="shared" si="5"/>
        <v/>
      </c>
      <c r="W780" s="39" t="str">
        <f>IFERROR(__xludf.DUMMYFUNCTION(" IF(Account!$F780&lt;&gt;"""", SPLIT(Account!$F780, "" ""), """")"),"")</f>
        <v/>
      </c>
      <c r="X780" s="40"/>
      <c r="Y780" s="40"/>
      <c r="Z780" s="40"/>
      <c r="AA780" s="40"/>
      <c r="AB780" s="40"/>
      <c r="AC780" s="40"/>
      <c r="AD780" s="40"/>
      <c r="AE780" s="40"/>
      <c r="AF780" s="40"/>
      <c r="AG780" s="40"/>
      <c r="AH780" s="40"/>
      <c r="AI780" s="40"/>
      <c r="AJ780" s="40"/>
      <c r="AK780" s="40"/>
    </row>
    <row r="781">
      <c r="A781" s="300"/>
      <c r="B781" s="300"/>
      <c r="C781" s="300"/>
      <c r="D781" s="300"/>
      <c r="E781" s="300"/>
      <c r="F781" s="329"/>
      <c r="G781" s="300"/>
      <c r="H781" s="300"/>
      <c r="I781" s="300"/>
      <c r="J781" s="300"/>
      <c r="K781" s="300"/>
      <c r="L781" s="329"/>
      <c r="M781" s="29" t="str">
        <f t="shared" si="1"/>
        <v/>
      </c>
      <c r="N781" s="31" t="str">
        <f>IFERROR(__xludf.DUMMYFUNCTION("IF(Account!$F781&lt;&gt;"""", VALUE(REGEXREPLACE($I781, ""\,"", ""."")), """")"),"")</f>
        <v/>
      </c>
      <c r="O781" s="33" t="str">
        <f>IF(Account!$F781&lt;&gt;"", DATEVALUE(MID($A781,4,3) &amp; LEFT($A781,3) &amp; RIGHT($A781,4)) + TIMEVALUE($B781), "")</f>
        <v/>
      </c>
      <c r="P781" s="34" t="str">
        <f>IF(Account!$F781&lt;&gt;"", DATEVALUE(MID($C781,4,3) &amp; LEFT($C781,3) &amp; RIGHT($C781,4)), "")</f>
        <v/>
      </c>
      <c r="Q781" s="35" t="str">
        <f t="array" ref="Q781">IF($R781&lt;&gt;"",IFERROR(INDEX(Investment!$A:$A,MATCH($R781,Investment!$H:$H,0))),)</f>
        <v/>
      </c>
      <c r="R781" s="36" t="str">
        <f t="array" ref="R781">IF(AND($Y781="change",$H781="EUR"),IF(AND($AA781="Crédit",$O781=$O782),$R782,IF(AND($AA781="Débit",$O781=$O780),$R780)),IF(OR(AND(OR($E781&lt;&gt;"",$M781=""),$N781&lt;&gt;0),$A781=""),IFERROR(INDEX(Investment!$H:$H,MATCH($E781,Investment!$F:$F,0))),IFERROR(INDEX($R782:$R1119,MATCH(SUBSTITUTE($I781,"-","",1),$K782:$K1119,0)),INDEX($R782:$R1119,MATCH($K781,$K782:$K1119,0)))))</f>
        <v/>
      </c>
      <c r="S781" s="35" t="str">
        <f t="shared" si="2"/>
        <v/>
      </c>
      <c r="T781" s="37" t="str">
        <f t="shared" si="3"/>
        <v/>
      </c>
      <c r="U781" s="38" t="str">
        <f t="shared" si="4"/>
        <v/>
      </c>
      <c r="V781" s="31" t="str">
        <f t="shared" si="5"/>
        <v/>
      </c>
      <c r="W781" s="39" t="str">
        <f>IFERROR(__xludf.DUMMYFUNCTION(" IF(Account!$F781&lt;&gt;"""", SPLIT(Account!$F781, "" ""), """")"),"")</f>
        <v/>
      </c>
      <c r="X781" s="40"/>
      <c r="Y781" s="40"/>
      <c r="Z781" s="40"/>
      <c r="AA781" s="40"/>
      <c r="AB781" s="40"/>
      <c r="AC781" s="40"/>
      <c r="AD781" s="40"/>
      <c r="AE781" s="40"/>
      <c r="AF781" s="40"/>
      <c r="AG781" s="40"/>
      <c r="AH781" s="40"/>
      <c r="AI781" s="40"/>
      <c r="AJ781" s="40"/>
      <c r="AK781" s="40"/>
    </row>
    <row r="782">
      <c r="A782" s="300"/>
      <c r="B782" s="300"/>
      <c r="C782" s="300"/>
      <c r="D782" s="300"/>
      <c r="E782" s="300"/>
      <c r="F782" s="329"/>
      <c r="G782" s="300"/>
      <c r="H782" s="300"/>
      <c r="I782" s="300"/>
      <c r="J782" s="300"/>
      <c r="K782" s="300"/>
      <c r="L782" s="329"/>
      <c r="M782" s="29" t="str">
        <f t="shared" si="1"/>
        <v/>
      </c>
      <c r="N782" s="31" t="str">
        <f>IFERROR(__xludf.DUMMYFUNCTION("IF(Account!$F782&lt;&gt;"""", VALUE(REGEXREPLACE($I782, ""\,"", ""."")), """")"),"")</f>
        <v/>
      </c>
      <c r="O782" s="33" t="str">
        <f>IF(Account!$F782&lt;&gt;"", DATEVALUE(MID($A782,4,3) &amp; LEFT($A782,3) &amp; RIGHT($A782,4)) + TIMEVALUE($B782), "")</f>
        <v/>
      </c>
      <c r="P782" s="34" t="str">
        <f>IF(Account!$F782&lt;&gt;"", DATEVALUE(MID($C782,4,3) &amp; LEFT($C782,3) &amp; RIGHT($C782,4)), "")</f>
        <v/>
      </c>
      <c r="Q782" s="35" t="str">
        <f t="array" ref="Q782">IF($R782&lt;&gt;"",IFERROR(INDEX(Investment!$A:$A,MATCH($R782,Investment!$H:$H,0))),)</f>
        <v/>
      </c>
      <c r="R782" s="36" t="str">
        <f t="array" ref="R782">IF(AND($Y782="change",$H782="EUR"),IF(AND($AA782="Crédit",$O782=$O783),$R783,IF(AND($AA782="Débit",$O782=$O781),$R781)),IF(OR(AND(OR($E782&lt;&gt;"",$M782=""),$N782&lt;&gt;0),$A782=""),IFERROR(INDEX(Investment!$H:$H,MATCH($E782,Investment!$F:$F,0))),IFERROR(INDEX($R783:$R1119,MATCH(SUBSTITUTE($I782,"-","",1),$K783:$K1119,0)),INDEX($R783:$R1119,MATCH($K782,$K783:$K1119,0)))))</f>
        <v/>
      </c>
      <c r="S782" s="35" t="str">
        <f t="shared" si="2"/>
        <v/>
      </c>
      <c r="T782" s="37" t="str">
        <f t="shared" si="3"/>
        <v/>
      </c>
      <c r="U782" s="38" t="str">
        <f t="shared" si="4"/>
        <v/>
      </c>
      <c r="V782" s="31" t="str">
        <f t="shared" si="5"/>
        <v/>
      </c>
      <c r="W782" s="39" t="str">
        <f>IFERROR(__xludf.DUMMYFUNCTION(" IF(Account!$F782&lt;&gt;"""", SPLIT(Account!$F782, "" ""), """")"),"")</f>
        <v/>
      </c>
      <c r="X782" s="40"/>
      <c r="Y782" s="40"/>
      <c r="Z782" s="40"/>
      <c r="AA782" s="40"/>
      <c r="AB782" s="40"/>
      <c r="AC782" s="40"/>
      <c r="AD782" s="40"/>
      <c r="AE782" s="40"/>
      <c r="AF782" s="40"/>
      <c r="AG782" s="40"/>
      <c r="AH782" s="40"/>
      <c r="AI782" s="40"/>
      <c r="AJ782" s="40"/>
      <c r="AK782" s="40"/>
    </row>
    <row r="783">
      <c r="A783" s="300"/>
      <c r="B783" s="300"/>
      <c r="C783" s="300"/>
      <c r="D783" s="300"/>
      <c r="E783" s="300"/>
      <c r="F783" s="329"/>
      <c r="G783" s="300"/>
      <c r="H783" s="300"/>
      <c r="I783" s="300"/>
      <c r="J783" s="300"/>
      <c r="K783" s="300"/>
      <c r="L783" s="329"/>
      <c r="M783" s="29" t="str">
        <f t="shared" si="1"/>
        <v/>
      </c>
      <c r="N783" s="31" t="str">
        <f>IFERROR(__xludf.DUMMYFUNCTION("IF(Account!$F783&lt;&gt;"""", VALUE(REGEXREPLACE($I783, ""\,"", ""."")), """")"),"")</f>
        <v/>
      </c>
      <c r="O783" s="33" t="str">
        <f>IF(Account!$F783&lt;&gt;"", DATEVALUE(MID($A783,4,3) &amp; LEFT($A783,3) &amp; RIGHT($A783,4)) + TIMEVALUE($B783), "")</f>
        <v/>
      </c>
      <c r="P783" s="34" t="str">
        <f>IF(Account!$F783&lt;&gt;"", DATEVALUE(MID($C783,4,3) &amp; LEFT($C783,3) &amp; RIGHT($C783,4)), "")</f>
        <v/>
      </c>
      <c r="Q783" s="35" t="str">
        <f t="array" ref="Q783">IF($R783&lt;&gt;"",IFERROR(INDEX(Investment!$A:$A,MATCH($R783,Investment!$H:$H,0))),)</f>
        <v/>
      </c>
      <c r="R783" s="36" t="str">
        <f t="array" ref="R783">IF(AND($Y783="change",$H783="EUR"),IF(AND($AA783="Crédit",$O783=$O784),$R784,IF(AND($AA783="Débit",$O783=$O782),$R782)),IF(OR(AND(OR($E783&lt;&gt;"",$M783=""),$N783&lt;&gt;0),$A783=""),IFERROR(INDEX(Investment!$H:$H,MATCH($E783,Investment!$F:$F,0))),IFERROR(INDEX($R784:$R1119,MATCH(SUBSTITUTE($I783,"-","",1),$K784:$K1119,0)),INDEX($R784:$R1119,MATCH($K783,$K784:$K1119,0)))))</f>
        <v/>
      </c>
      <c r="S783" s="35" t="str">
        <f t="shared" si="2"/>
        <v/>
      </c>
      <c r="T783" s="37" t="str">
        <f t="shared" si="3"/>
        <v/>
      </c>
      <c r="U783" s="38" t="str">
        <f t="shared" si="4"/>
        <v/>
      </c>
      <c r="V783" s="31" t="str">
        <f t="shared" si="5"/>
        <v/>
      </c>
      <c r="W783" s="39" t="str">
        <f>IFERROR(__xludf.DUMMYFUNCTION(" IF(Account!$F783&lt;&gt;"""", SPLIT(Account!$F783, "" ""), """")"),"")</f>
        <v/>
      </c>
      <c r="X783" s="40"/>
      <c r="Y783" s="40"/>
      <c r="Z783" s="40"/>
      <c r="AA783" s="40"/>
      <c r="AB783" s="40"/>
      <c r="AC783" s="40"/>
      <c r="AD783" s="40"/>
      <c r="AE783" s="40"/>
      <c r="AF783" s="40"/>
      <c r="AG783" s="40"/>
      <c r="AH783" s="40"/>
      <c r="AI783" s="40"/>
      <c r="AJ783" s="40"/>
      <c r="AK783" s="40"/>
    </row>
    <row r="784">
      <c r="A784" s="300"/>
      <c r="B784" s="300"/>
      <c r="C784" s="300"/>
      <c r="D784" s="300"/>
      <c r="E784" s="300"/>
      <c r="F784" s="329"/>
      <c r="G784" s="300"/>
      <c r="H784" s="300"/>
      <c r="I784" s="300"/>
      <c r="J784" s="300"/>
      <c r="K784" s="300"/>
      <c r="L784" s="329"/>
      <c r="M784" s="29" t="str">
        <f t="shared" si="1"/>
        <v/>
      </c>
      <c r="N784" s="31" t="str">
        <f>IFERROR(__xludf.DUMMYFUNCTION("IF(Account!$F784&lt;&gt;"""", VALUE(REGEXREPLACE($I784, ""\,"", ""."")), """")"),"")</f>
        <v/>
      </c>
      <c r="O784" s="33" t="str">
        <f>IF(Account!$F784&lt;&gt;"", DATEVALUE(MID($A784,4,3) &amp; LEFT($A784,3) &amp; RIGHT($A784,4)) + TIMEVALUE($B784), "")</f>
        <v/>
      </c>
      <c r="P784" s="34" t="str">
        <f>IF(Account!$F784&lt;&gt;"", DATEVALUE(MID($C784,4,3) &amp; LEFT($C784,3) &amp; RIGHT($C784,4)), "")</f>
        <v/>
      </c>
      <c r="Q784" s="35" t="str">
        <f t="array" ref="Q784">IF($R784&lt;&gt;"",IFERROR(INDEX(Investment!$A:$A,MATCH($R784,Investment!$H:$H,0))),)</f>
        <v/>
      </c>
      <c r="R784" s="36" t="str">
        <f t="array" ref="R784">IF(AND($Y784="change",$H784="EUR"),IF(AND($AA784="Crédit",$O784=$O785),$R785,IF(AND($AA784="Débit",$O784=$O783),$R783)),IF(OR(AND(OR($E784&lt;&gt;"",$M784=""),$N784&lt;&gt;0),$A784=""),IFERROR(INDEX(Investment!$H:$H,MATCH($E784,Investment!$F:$F,0))),IFERROR(INDEX($R785:$R1119,MATCH(SUBSTITUTE($I784,"-","",1),$K785:$K1119,0)),INDEX($R785:$R1119,MATCH($K784,$K785:$K1119,0)))))</f>
        <v/>
      </c>
      <c r="S784" s="35" t="str">
        <f t="shared" si="2"/>
        <v/>
      </c>
      <c r="T784" s="37" t="str">
        <f t="shared" si="3"/>
        <v/>
      </c>
      <c r="U784" s="38" t="str">
        <f t="shared" si="4"/>
        <v/>
      </c>
      <c r="V784" s="31" t="str">
        <f t="shared" si="5"/>
        <v/>
      </c>
      <c r="W784" s="39" t="str">
        <f>IFERROR(__xludf.DUMMYFUNCTION(" IF(Account!$F784&lt;&gt;"""", SPLIT(Account!$F784, "" ""), """")"),"")</f>
        <v/>
      </c>
      <c r="X784" s="40"/>
      <c r="Y784" s="40"/>
      <c r="Z784" s="40"/>
      <c r="AA784" s="40"/>
      <c r="AB784" s="40"/>
      <c r="AC784" s="40"/>
      <c r="AD784" s="40"/>
      <c r="AE784" s="40"/>
      <c r="AF784" s="40"/>
      <c r="AG784" s="40"/>
      <c r="AH784" s="40"/>
      <c r="AI784" s="40"/>
      <c r="AJ784" s="40"/>
      <c r="AK784" s="40"/>
    </row>
    <row r="785">
      <c r="A785" s="300"/>
      <c r="B785" s="300"/>
      <c r="C785" s="300"/>
      <c r="D785" s="300"/>
      <c r="E785" s="300"/>
      <c r="F785" s="329"/>
      <c r="G785" s="300"/>
      <c r="H785" s="300"/>
      <c r="I785" s="300"/>
      <c r="J785" s="300"/>
      <c r="K785" s="300"/>
      <c r="L785" s="329"/>
      <c r="M785" s="29" t="str">
        <f t="shared" si="1"/>
        <v/>
      </c>
      <c r="N785" s="31" t="str">
        <f>IFERROR(__xludf.DUMMYFUNCTION("IF(Account!$F785&lt;&gt;"""", VALUE(REGEXREPLACE($I785, ""\,"", ""."")), """")"),"")</f>
        <v/>
      </c>
      <c r="O785" s="33" t="str">
        <f>IF(Account!$F785&lt;&gt;"", DATEVALUE(MID($A785,4,3) &amp; LEFT($A785,3) &amp; RIGHT($A785,4)) + TIMEVALUE($B785), "")</f>
        <v/>
      </c>
      <c r="P785" s="34" t="str">
        <f>IF(Account!$F785&lt;&gt;"", DATEVALUE(MID($C785,4,3) &amp; LEFT($C785,3) &amp; RIGHT($C785,4)), "")</f>
        <v/>
      </c>
      <c r="Q785" s="35" t="str">
        <f t="array" ref="Q785">IF($R785&lt;&gt;"",IFERROR(INDEX(Investment!$A:$A,MATCH($R785,Investment!$H:$H,0))),)</f>
        <v/>
      </c>
      <c r="R785" s="36" t="str">
        <f t="array" ref="R785">IF(AND($Y785="change",$H785="EUR"),IF(AND($AA785="Crédit",$O785=$O786),$R786,IF(AND($AA785="Débit",$O785=$O784),$R784)),IF(OR(AND(OR($E785&lt;&gt;"",$M785=""),$N785&lt;&gt;0),$A785=""),IFERROR(INDEX(Investment!$H:$H,MATCH($E785,Investment!$F:$F,0))),IFERROR(INDEX($R786:$R1119,MATCH(SUBSTITUTE($I785,"-","",1),$K786:$K1119,0)),INDEX($R786:$R1119,MATCH($K785,$K786:$K1119,0)))))</f>
        <v/>
      </c>
      <c r="S785" s="35" t="str">
        <f t="shared" si="2"/>
        <v/>
      </c>
      <c r="T785" s="37" t="str">
        <f t="shared" si="3"/>
        <v/>
      </c>
      <c r="U785" s="38" t="str">
        <f t="shared" si="4"/>
        <v/>
      </c>
      <c r="V785" s="31" t="str">
        <f t="shared" si="5"/>
        <v/>
      </c>
      <c r="W785" s="39" t="str">
        <f>IFERROR(__xludf.DUMMYFUNCTION(" IF(Account!$F785&lt;&gt;"""", SPLIT(Account!$F785, "" ""), """")"),"")</f>
        <v/>
      </c>
      <c r="X785" s="40"/>
      <c r="Y785" s="40"/>
      <c r="Z785" s="40"/>
      <c r="AA785" s="40"/>
      <c r="AB785" s="40"/>
      <c r="AC785" s="40"/>
      <c r="AD785" s="40"/>
      <c r="AE785" s="40"/>
      <c r="AF785" s="40"/>
      <c r="AG785" s="40"/>
      <c r="AH785" s="40"/>
      <c r="AI785" s="40"/>
      <c r="AJ785" s="40"/>
      <c r="AK785" s="40"/>
    </row>
    <row r="786">
      <c r="A786" s="300"/>
      <c r="B786" s="300"/>
      <c r="C786" s="300"/>
      <c r="D786" s="300"/>
      <c r="E786" s="300"/>
      <c r="F786" s="329"/>
      <c r="G786" s="300"/>
      <c r="H786" s="300"/>
      <c r="I786" s="300"/>
      <c r="J786" s="300"/>
      <c r="K786" s="300"/>
      <c r="L786" s="329"/>
      <c r="M786" s="29" t="str">
        <f t="shared" si="1"/>
        <v/>
      </c>
      <c r="N786" s="31" t="str">
        <f>IFERROR(__xludf.DUMMYFUNCTION("IF(Account!$F786&lt;&gt;"""", VALUE(REGEXREPLACE($I786, ""\,"", ""."")), """")"),"")</f>
        <v/>
      </c>
      <c r="O786" s="33" t="str">
        <f>IF(Account!$F786&lt;&gt;"", DATEVALUE(MID($A786,4,3) &amp; LEFT($A786,3) &amp; RIGHT($A786,4)) + TIMEVALUE($B786), "")</f>
        <v/>
      </c>
      <c r="P786" s="34" t="str">
        <f>IF(Account!$F786&lt;&gt;"", DATEVALUE(MID($C786,4,3) &amp; LEFT($C786,3) &amp; RIGHT($C786,4)), "")</f>
        <v/>
      </c>
      <c r="Q786" s="35" t="str">
        <f t="array" ref="Q786">IF($R786&lt;&gt;"",IFERROR(INDEX(Investment!$A:$A,MATCH($R786,Investment!$H:$H,0))),)</f>
        <v/>
      </c>
      <c r="R786" s="36" t="str">
        <f t="array" ref="R786">IF(AND($Y786="change",$H786="EUR"),IF(AND($AA786="Crédit",$O786=$O787),$R787,IF(AND($AA786="Débit",$O786=$O785),$R785)),IF(OR(AND(OR($E786&lt;&gt;"",$M786=""),$N786&lt;&gt;0),$A786=""),IFERROR(INDEX(Investment!$H:$H,MATCH($E786,Investment!$F:$F,0))),IFERROR(INDEX($R787:$R1119,MATCH(SUBSTITUTE($I786,"-","",1),$K787:$K1119,0)),INDEX($R787:$R1119,MATCH($K786,$K787:$K1119,0)))))</f>
        <v/>
      </c>
      <c r="S786" s="35" t="str">
        <f t="shared" si="2"/>
        <v/>
      </c>
      <c r="T786" s="37" t="str">
        <f t="shared" si="3"/>
        <v/>
      </c>
      <c r="U786" s="38" t="str">
        <f t="shared" si="4"/>
        <v/>
      </c>
      <c r="V786" s="31" t="str">
        <f t="shared" si="5"/>
        <v/>
      </c>
      <c r="W786" s="39" t="str">
        <f>IFERROR(__xludf.DUMMYFUNCTION(" IF(Account!$F786&lt;&gt;"""", SPLIT(Account!$F786, "" ""), """")"),"")</f>
        <v/>
      </c>
      <c r="X786" s="40"/>
      <c r="Y786" s="40"/>
      <c r="Z786" s="40"/>
      <c r="AA786" s="40"/>
      <c r="AB786" s="40"/>
      <c r="AC786" s="40"/>
      <c r="AD786" s="40"/>
      <c r="AE786" s="40"/>
      <c r="AF786" s="40"/>
      <c r="AG786" s="40"/>
      <c r="AH786" s="40"/>
      <c r="AI786" s="40"/>
      <c r="AJ786" s="40"/>
      <c r="AK786" s="40"/>
    </row>
    <row r="787">
      <c r="A787" s="300"/>
      <c r="B787" s="300"/>
      <c r="C787" s="300"/>
      <c r="D787" s="300"/>
      <c r="E787" s="300"/>
      <c r="F787" s="329"/>
      <c r="G787" s="300"/>
      <c r="H787" s="300"/>
      <c r="I787" s="300"/>
      <c r="J787" s="300"/>
      <c r="K787" s="300"/>
      <c r="L787" s="329"/>
      <c r="M787" s="29" t="str">
        <f t="shared" si="1"/>
        <v/>
      </c>
      <c r="N787" s="31" t="str">
        <f>IFERROR(__xludf.DUMMYFUNCTION("IF(Account!$F787&lt;&gt;"""", VALUE(REGEXREPLACE($I787, ""\,"", ""."")), """")"),"")</f>
        <v/>
      </c>
      <c r="O787" s="33" t="str">
        <f>IF(Account!$F787&lt;&gt;"", DATEVALUE(MID($A787,4,3) &amp; LEFT($A787,3) &amp; RIGHT($A787,4)) + TIMEVALUE($B787), "")</f>
        <v/>
      </c>
      <c r="P787" s="34" t="str">
        <f>IF(Account!$F787&lt;&gt;"", DATEVALUE(MID($C787,4,3) &amp; LEFT($C787,3) &amp; RIGHT($C787,4)), "")</f>
        <v/>
      </c>
      <c r="Q787" s="35" t="str">
        <f t="array" ref="Q787">IF($R787&lt;&gt;"",IFERROR(INDEX(Investment!$A:$A,MATCH($R787,Investment!$H:$H,0))),)</f>
        <v/>
      </c>
      <c r="R787" s="36" t="str">
        <f t="array" ref="R787">IF(AND($Y787="change",$H787="EUR"),IF(AND($AA787="Crédit",$O787=$O788),$R788,IF(AND($AA787="Débit",$O787=$O786),$R786)),IF(OR(AND(OR($E787&lt;&gt;"",$M787=""),$N787&lt;&gt;0),$A787=""),IFERROR(INDEX(Investment!$H:$H,MATCH($E787,Investment!$F:$F,0))),IFERROR(INDEX($R788:$R1119,MATCH(SUBSTITUTE($I787,"-","",1),$K788:$K1119,0)),INDEX($R788:$R1119,MATCH($K787,$K788:$K1119,0)))))</f>
        <v/>
      </c>
      <c r="S787" s="35" t="str">
        <f t="shared" si="2"/>
        <v/>
      </c>
      <c r="T787" s="37" t="str">
        <f t="shared" si="3"/>
        <v/>
      </c>
      <c r="U787" s="38" t="str">
        <f t="shared" si="4"/>
        <v/>
      </c>
      <c r="V787" s="31" t="str">
        <f t="shared" si="5"/>
        <v/>
      </c>
      <c r="W787" s="39" t="str">
        <f>IFERROR(__xludf.DUMMYFUNCTION(" IF(Account!$F787&lt;&gt;"""", SPLIT(Account!$F787, "" ""), """")"),"")</f>
        <v/>
      </c>
      <c r="X787" s="40"/>
      <c r="Y787" s="40"/>
      <c r="Z787" s="40"/>
      <c r="AA787" s="40"/>
      <c r="AB787" s="40"/>
      <c r="AC787" s="40"/>
      <c r="AD787" s="40"/>
      <c r="AE787" s="40"/>
      <c r="AF787" s="40"/>
      <c r="AG787" s="40"/>
      <c r="AH787" s="40"/>
      <c r="AI787" s="40"/>
      <c r="AJ787" s="40"/>
      <c r="AK787" s="40"/>
    </row>
    <row r="788">
      <c r="A788" s="300"/>
      <c r="B788" s="300"/>
      <c r="C788" s="300"/>
      <c r="D788" s="300"/>
      <c r="E788" s="300"/>
      <c r="F788" s="329"/>
      <c r="G788" s="300"/>
      <c r="H788" s="300"/>
      <c r="I788" s="300"/>
      <c r="J788" s="300"/>
      <c r="K788" s="300"/>
      <c r="L788" s="329"/>
      <c r="M788" s="29" t="str">
        <f t="shared" si="1"/>
        <v/>
      </c>
      <c r="N788" s="31" t="str">
        <f>IFERROR(__xludf.DUMMYFUNCTION("IF(Account!$F788&lt;&gt;"""", VALUE(REGEXREPLACE($I788, ""\,"", ""."")), """")"),"")</f>
        <v/>
      </c>
      <c r="O788" s="33" t="str">
        <f>IF(Account!$F788&lt;&gt;"", DATEVALUE(MID($A788,4,3) &amp; LEFT($A788,3) &amp; RIGHT($A788,4)) + TIMEVALUE($B788), "")</f>
        <v/>
      </c>
      <c r="P788" s="34" t="str">
        <f>IF(Account!$F788&lt;&gt;"", DATEVALUE(MID($C788,4,3) &amp; LEFT($C788,3) &amp; RIGHT($C788,4)), "")</f>
        <v/>
      </c>
      <c r="Q788" s="35" t="str">
        <f t="array" ref="Q788">IF($R788&lt;&gt;"",IFERROR(INDEX(Investment!$A:$A,MATCH($R788,Investment!$H:$H,0))),)</f>
        <v/>
      </c>
      <c r="R788" s="36" t="str">
        <f t="array" ref="R788">IF(AND($Y788="change",$H788="EUR"),IF(AND($AA788="Crédit",$O788=$O789),$R789,IF(AND($AA788="Débit",$O788=$O787),$R787)),IF(OR(AND(OR($E788&lt;&gt;"",$M788=""),$N788&lt;&gt;0),$A788=""),IFERROR(INDEX(Investment!$H:$H,MATCH($E788,Investment!$F:$F,0))),IFERROR(INDEX($R789:$R1119,MATCH(SUBSTITUTE($I788,"-","",1),$K789:$K1119,0)),INDEX($R789:$R1119,MATCH($K788,$K789:$K1119,0)))))</f>
        <v/>
      </c>
      <c r="S788" s="35" t="str">
        <f t="shared" si="2"/>
        <v/>
      </c>
      <c r="T788" s="37" t="str">
        <f t="shared" si="3"/>
        <v/>
      </c>
      <c r="U788" s="38" t="str">
        <f t="shared" si="4"/>
        <v/>
      </c>
      <c r="V788" s="31" t="str">
        <f t="shared" si="5"/>
        <v/>
      </c>
      <c r="W788" s="39" t="str">
        <f>IFERROR(__xludf.DUMMYFUNCTION(" IF(Account!$F788&lt;&gt;"""", SPLIT(Account!$F788, "" ""), """")"),"")</f>
        <v/>
      </c>
      <c r="X788" s="40"/>
      <c r="Y788" s="40"/>
      <c r="Z788" s="40"/>
      <c r="AA788" s="40"/>
      <c r="AB788" s="40"/>
      <c r="AC788" s="40"/>
      <c r="AD788" s="40"/>
      <c r="AE788" s="40"/>
      <c r="AF788" s="40"/>
      <c r="AG788" s="40"/>
      <c r="AH788" s="40"/>
      <c r="AI788" s="40"/>
      <c r="AJ788" s="40"/>
      <c r="AK788" s="40"/>
    </row>
    <row r="789">
      <c r="A789" s="300"/>
      <c r="B789" s="300"/>
      <c r="C789" s="300"/>
      <c r="D789" s="300"/>
      <c r="E789" s="300"/>
      <c r="F789" s="329"/>
      <c r="G789" s="300"/>
      <c r="H789" s="300"/>
      <c r="I789" s="300"/>
      <c r="J789" s="300"/>
      <c r="K789" s="300"/>
      <c r="L789" s="329"/>
      <c r="M789" s="29" t="str">
        <f t="shared" si="1"/>
        <v/>
      </c>
      <c r="N789" s="31" t="str">
        <f>IFERROR(__xludf.DUMMYFUNCTION("IF(Account!$F789&lt;&gt;"""", VALUE(REGEXREPLACE($I789, ""\,"", ""."")), """")"),"")</f>
        <v/>
      </c>
      <c r="O789" s="33" t="str">
        <f>IF(Account!$F789&lt;&gt;"", DATEVALUE(MID($A789,4,3) &amp; LEFT($A789,3) &amp; RIGHT($A789,4)) + TIMEVALUE($B789), "")</f>
        <v/>
      </c>
      <c r="P789" s="34" t="str">
        <f>IF(Account!$F789&lt;&gt;"", DATEVALUE(MID($C789,4,3) &amp; LEFT($C789,3) &amp; RIGHT($C789,4)), "")</f>
        <v/>
      </c>
      <c r="Q789" s="35" t="str">
        <f t="array" ref="Q789">IF($R789&lt;&gt;"",IFERROR(INDEX(Investment!$A:$A,MATCH($R789,Investment!$H:$H,0))),)</f>
        <v/>
      </c>
      <c r="R789" s="36" t="str">
        <f t="array" ref="R789">IF(AND($Y789="change",$H789="EUR"),IF(AND($AA789="Crédit",$O789=$O790),$R790,IF(AND($AA789="Débit",$O789=$O788),$R788)),IF(OR(AND(OR($E789&lt;&gt;"",$M789=""),$N789&lt;&gt;0),$A789=""),IFERROR(INDEX(Investment!$H:$H,MATCH($E789,Investment!$F:$F,0))),IFERROR(INDEX($R790:$R1119,MATCH(SUBSTITUTE($I789,"-","",1),$K790:$K1119,0)),INDEX($R790:$R1119,MATCH($K789,$K790:$K1119,0)))))</f>
        <v/>
      </c>
      <c r="S789" s="35" t="str">
        <f t="shared" si="2"/>
        <v/>
      </c>
      <c r="T789" s="37" t="str">
        <f t="shared" si="3"/>
        <v/>
      </c>
      <c r="U789" s="38" t="str">
        <f t="shared" si="4"/>
        <v/>
      </c>
      <c r="V789" s="31" t="str">
        <f t="shared" si="5"/>
        <v/>
      </c>
      <c r="W789" s="39" t="str">
        <f>IFERROR(__xludf.DUMMYFUNCTION(" IF(Account!$F789&lt;&gt;"""", SPLIT(Account!$F789, "" ""), """")"),"")</f>
        <v/>
      </c>
      <c r="X789" s="40"/>
      <c r="Y789" s="40"/>
      <c r="Z789" s="40"/>
      <c r="AA789" s="40"/>
      <c r="AB789" s="40"/>
      <c r="AC789" s="40"/>
      <c r="AD789" s="40"/>
      <c r="AE789" s="40"/>
      <c r="AF789" s="40"/>
      <c r="AG789" s="40"/>
      <c r="AH789" s="40"/>
      <c r="AI789" s="40"/>
      <c r="AJ789" s="40"/>
      <c r="AK789" s="40"/>
    </row>
    <row r="790">
      <c r="A790" s="300"/>
      <c r="B790" s="300"/>
      <c r="C790" s="300"/>
      <c r="D790" s="300"/>
      <c r="E790" s="300"/>
      <c r="F790" s="329"/>
      <c r="G790" s="300"/>
      <c r="H790" s="300"/>
      <c r="I790" s="300"/>
      <c r="J790" s="300"/>
      <c r="K790" s="300"/>
      <c r="L790" s="329"/>
      <c r="M790" s="29" t="str">
        <f t="shared" si="1"/>
        <v/>
      </c>
      <c r="N790" s="31" t="str">
        <f>IFERROR(__xludf.DUMMYFUNCTION("IF(Account!$F790&lt;&gt;"""", VALUE(REGEXREPLACE($I790, ""\,"", ""."")), """")"),"")</f>
        <v/>
      </c>
      <c r="O790" s="33" t="str">
        <f>IF(Account!$F790&lt;&gt;"", DATEVALUE(MID($A790,4,3) &amp; LEFT($A790,3) &amp; RIGHT($A790,4)) + TIMEVALUE($B790), "")</f>
        <v/>
      </c>
      <c r="P790" s="34" t="str">
        <f>IF(Account!$F790&lt;&gt;"", DATEVALUE(MID($C790,4,3) &amp; LEFT($C790,3) &amp; RIGHT($C790,4)), "")</f>
        <v/>
      </c>
      <c r="Q790" s="35" t="str">
        <f t="array" ref="Q790">IF($R790&lt;&gt;"",IFERROR(INDEX(Investment!$A:$A,MATCH($R790,Investment!$H:$H,0))),)</f>
        <v/>
      </c>
      <c r="R790" s="36" t="str">
        <f t="array" ref="R790">IF(AND($Y790="change",$H790="EUR"),IF(AND($AA790="Crédit",$O790=$O791),$R791,IF(AND($AA790="Débit",$O790=$O789),$R789)),IF(OR(AND(OR($E790&lt;&gt;"",$M790=""),$N790&lt;&gt;0),$A790=""),IFERROR(INDEX(Investment!$H:$H,MATCH($E790,Investment!$F:$F,0))),IFERROR(INDEX($R791:$R1119,MATCH(SUBSTITUTE($I790,"-","",1),$K791:$K1119,0)),INDEX($R791:$R1119,MATCH($K790,$K791:$K1119,0)))))</f>
        <v/>
      </c>
      <c r="S790" s="35" t="str">
        <f t="shared" si="2"/>
        <v/>
      </c>
      <c r="T790" s="37" t="str">
        <f t="shared" si="3"/>
        <v/>
      </c>
      <c r="U790" s="38" t="str">
        <f t="shared" si="4"/>
        <v/>
      </c>
      <c r="V790" s="31" t="str">
        <f t="shared" si="5"/>
        <v/>
      </c>
      <c r="W790" s="39" t="str">
        <f>IFERROR(__xludf.DUMMYFUNCTION(" IF(Account!$F790&lt;&gt;"""", SPLIT(Account!$F790, "" ""), """")"),"")</f>
        <v/>
      </c>
      <c r="X790" s="40"/>
      <c r="Y790" s="40"/>
      <c r="Z790" s="40"/>
      <c r="AA790" s="40"/>
      <c r="AB790" s="40"/>
      <c r="AC790" s="40"/>
      <c r="AD790" s="40"/>
      <c r="AE790" s="40"/>
      <c r="AF790" s="40"/>
      <c r="AG790" s="40"/>
      <c r="AH790" s="40"/>
      <c r="AI790" s="40"/>
      <c r="AJ790" s="40"/>
      <c r="AK790" s="40"/>
    </row>
    <row r="791">
      <c r="A791" s="300"/>
      <c r="B791" s="300"/>
      <c r="C791" s="300"/>
      <c r="D791" s="300"/>
      <c r="E791" s="300"/>
      <c r="F791" s="329"/>
      <c r="G791" s="300"/>
      <c r="H791" s="300"/>
      <c r="I791" s="300"/>
      <c r="J791" s="300"/>
      <c r="K791" s="300"/>
      <c r="L791" s="329"/>
      <c r="M791" s="29" t="str">
        <f t="shared" si="1"/>
        <v/>
      </c>
      <c r="N791" s="31" t="str">
        <f>IFERROR(__xludf.DUMMYFUNCTION("IF(Account!$F791&lt;&gt;"""", VALUE(REGEXREPLACE($I791, ""\,"", ""."")), """")"),"")</f>
        <v/>
      </c>
      <c r="O791" s="33" t="str">
        <f>IF(Account!$F791&lt;&gt;"", DATEVALUE(MID($A791,4,3) &amp; LEFT($A791,3) &amp; RIGHT($A791,4)) + TIMEVALUE($B791), "")</f>
        <v/>
      </c>
      <c r="P791" s="34" t="str">
        <f>IF(Account!$F791&lt;&gt;"", DATEVALUE(MID($C791,4,3) &amp; LEFT($C791,3) &amp; RIGHT($C791,4)), "")</f>
        <v/>
      </c>
      <c r="Q791" s="35" t="str">
        <f t="array" ref="Q791">IF($R791&lt;&gt;"",IFERROR(INDEX(Investment!$A:$A,MATCH($R791,Investment!$H:$H,0))),)</f>
        <v/>
      </c>
      <c r="R791" s="36" t="str">
        <f t="array" ref="R791">IF(AND($Y791="change",$H791="EUR"),IF(AND($AA791="Crédit",$O791=$O792),$R792,IF(AND($AA791="Débit",$O791=$O790),$R790)),IF(OR(AND(OR($E791&lt;&gt;"",$M791=""),$N791&lt;&gt;0),$A791=""),IFERROR(INDEX(Investment!$H:$H,MATCH($E791,Investment!$F:$F,0))),IFERROR(INDEX($R792:$R1119,MATCH(SUBSTITUTE($I791,"-","",1),$K792:$K1119,0)),INDEX($R792:$R1119,MATCH($K791,$K792:$K1119,0)))))</f>
        <v/>
      </c>
      <c r="S791" s="35" t="str">
        <f t="shared" si="2"/>
        <v/>
      </c>
      <c r="T791" s="37" t="str">
        <f t="shared" si="3"/>
        <v/>
      </c>
      <c r="U791" s="38" t="str">
        <f t="shared" si="4"/>
        <v/>
      </c>
      <c r="V791" s="31" t="str">
        <f t="shared" si="5"/>
        <v/>
      </c>
      <c r="W791" s="39" t="str">
        <f>IFERROR(__xludf.DUMMYFUNCTION(" IF(Account!$F791&lt;&gt;"""", SPLIT(Account!$F791, "" ""), """")"),"")</f>
        <v/>
      </c>
      <c r="X791" s="40"/>
      <c r="Y791" s="40"/>
      <c r="Z791" s="40"/>
      <c r="AA791" s="40"/>
      <c r="AB791" s="40"/>
      <c r="AC791" s="40"/>
      <c r="AD791" s="40"/>
      <c r="AE791" s="40"/>
      <c r="AF791" s="40"/>
      <c r="AG791" s="40"/>
      <c r="AH791" s="40"/>
      <c r="AI791" s="40"/>
      <c r="AJ791" s="40"/>
      <c r="AK791" s="40"/>
    </row>
    <row r="792">
      <c r="A792" s="300"/>
      <c r="B792" s="300"/>
      <c r="C792" s="300"/>
      <c r="D792" s="300"/>
      <c r="E792" s="300"/>
      <c r="F792" s="329"/>
      <c r="G792" s="300"/>
      <c r="H792" s="300"/>
      <c r="I792" s="300"/>
      <c r="J792" s="300"/>
      <c r="K792" s="300"/>
      <c r="L792" s="329"/>
      <c r="M792" s="29" t="str">
        <f t="shared" si="1"/>
        <v/>
      </c>
      <c r="N792" s="31" t="str">
        <f>IFERROR(__xludf.DUMMYFUNCTION("IF(Account!$F792&lt;&gt;"""", VALUE(REGEXREPLACE($I792, ""\,"", ""."")), """")"),"")</f>
        <v/>
      </c>
      <c r="O792" s="33" t="str">
        <f>IF(Account!$F792&lt;&gt;"", DATEVALUE(MID($A792,4,3) &amp; LEFT($A792,3) &amp; RIGHT($A792,4)) + TIMEVALUE($B792), "")</f>
        <v/>
      </c>
      <c r="P792" s="34" t="str">
        <f>IF(Account!$F792&lt;&gt;"", DATEVALUE(MID($C792,4,3) &amp; LEFT($C792,3) &amp; RIGHT($C792,4)), "")</f>
        <v/>
      </c>
      <c r="Q792" s="35" t="str">
        <f t="array" ref="Q792">IF($R792&lt;&gt;"",IFERROR(INDEX(Investment!$A:$A,MATCH($R792,Investment!$H:$H,0))),)</f>
        <v/>
      </c>
      <c r="R792" s="36" t="str">
        <f t="array" ref="R792">IF(AND($Y792="change",$H792="EUR"),IF(AND($AA792="Crédit",$O792=$O793),$R793,IF(AND($AA792="Débit",$O792=$O791),$R791)),IF(OR(AND(OR($E792&lt;&gt;"",$M792=""),$N792&lt;&gt;0),$A792=""),IFERROR(INDEX(Investment!$H:$H,MATCH($E792,Investment!$F:$F,0))),IFERROR(INDEX($R793:$R1119,MATCH(SUBSTITUTE($I792,"-","",1),$K793:$K1119,0)),INDEX($R793:$R1119,MATCH($K792,$K793:$K1119,0)))))</f>
        <v/>
      </c>
      <c r="S792" s="35" t="str">
        <f t="shared" si="2"/>
        <v/>
      </c>
      <c r="T792" s="37" t="str">
        <f t="shared" si="3"/>
        <v/>
      </c>
      <c r="U792" s="38" t="str">
        <f t="shared" si="4"/>
        <v/>
      </c>
      <c r="V792" s="31" t="str">
        <f t="shared" si="5"/>
        <v/>
      </c>
      <c r="W792" s="39" t="str">
        <f>IFERROR(__xludf.DUMMYFUNCTION(" IF(Account!$F792&lt;&gt;"""", SPLIT(Account!$F792, "" ""), """")"),"")</f>
        <v/>
      </c>
      <c r="X792" s="40"/>
      <c r="Y792" s="40"/>
      <c r="Z792" s="40"/>
      <c r="AA792" s="40"/>
      <c r="AB792" s="40"/>
      <c r="AC792" s="40"/>
      <c r="AD792" s="40"/>
      <c r="AE792" s="40"/>
      <c r="AF792" s="40"/>
      <c r="AG792" s="40"/>
      <c r="AH792" s="40"/>
      <c r="AI792" s="40"/>
      <c r="AJ792" s="40"/>
      <c r="AK792" s="40"/>
    </row>
    <row r="793">
      <c r="A793" s="300"/>
      <c r="B793" s="300"/>
      <c r="C793" s="300"/>
      <c r="D793" s="300"/>
      <c r="E793" s="300"/>
      <c r="F793" s="329"/>
      <c r="G793" s="300"/>
      <c r="H793" s="300"/>
      <c r="I793" s="300"/>
      <c r="J793" s="300"/>
      <c r="K793" s="300"/>
      <c r="L793" s="329"/>
      <c r="M793" s="29" t="str">
        <f t="shared" si="1"/>
        <v/>
      </c>
      <c r="N793" s="31" t="str">
        <f>IFERROR(__xludf.DUMMYFUNCTION("IF(Account!$F793&lt;&gt;"""", VALUE(REGEXREPLACE($I793, ""\,"", ""."")), """")"),"")</f>
        <v/>
      </c>
      <c r="O793" s="33" t="str">
        <f>IF(Account!$F793&lt;&gt;"", DATEVALUE(MID($A793,4,3) &amp; LEFT($A793,3) &amp; RIGHT($A793,4)) + TIMEVALUE($B793), "")</f>
        <v/>
      </c>
      <c r="P793" s="34" t="str">
        <f>IF(Account!$F793&lt;&gt;"", DATEVALUE(MID($C793,4,3) &amp; LEFT($C793,3) &amp; RIGHT($C793,4)), "")</f>
        <v/>
      </c>
      <c r="Q793" s="35" t="str">
        <f t="array" ref="Q793">IF($R793&lt;&gt;"",IFERROR(INDEX(Investment!$A:$A,MATCH($R793,Investment!$H:$H,0))),)</f>
        <v/>
      </c>
      <c r="R793" s="36" t="str">
        <f t="array" ref="R793">IF(AND($Y793="change",$H793="EUR"),IF(AND($AA793="Crédit",$O793=$O794),$R794,IF(AND($AA793="Débit",$O793=$O792),$R792)),IF(OR(AND(OR($E793&lt;&gt;"",$M793=""),$N793&lt;&gt;0),$A793=""),IFERROR(INDEX(Investment!$H:$H,MATCH($E793,Investment!$F:$F,0))),IFERROR(INDEX($R794:$R1119,MATCH(SUBSTITUTE($I793,"-","",1),$K794:$K1119,0)),INDEX($R794:$R1119,MATCH($K793,$K794:$K1119,0)))))</f>
        <v/>
      </c>
      <c r="S793" s="35" t="str">
        <f t="shared" si="2"/>
        <v/>
      </c>
      <c r="T793" s="37" t="str">
        <f t="shared" si="3"/>
        <v/>
      </c>
      <c r="U793" s="38" t="str">
        <f t="shared" si="4"/>
        <v/>
      </c>
      <c r="V793" s="31" t="str">
        <f t="shared" si="5"/>
        <v/>
      </c>
      <c r="W793" s="39" t="str">
        <f>IFERROR(__xludf.DUMMYFUNCTION(" IF(Account!$F793&lt;&gt;"""", SPLIT(Account!$F793, "" ""), """")"),"")</f>
        <v/>
      </c>
      <c r="X793" s="40"/>
      <c r="Y793" s="40"/>
      <c r="Z793" s="40"/>
      <c r="AA793" s="40"/>
      <c r="AB793" s="40"/>
      <c r="AC793" s="40"/>
      <c r="AD793" s="40"/>
      <c r="AE793" s="40"/>
      <c r="AF793" s="40"/>
      <c r="AG793" s="40"/>
      <c r="AH793" s="40"/>
      <c r="AI793" s="40"/>
      <c r="AJ793" s="40"/>
      <c r="AK793" s="40"/>
    </row>
    <row r="794">
      <c r="A794" s="300"/>
      <c r="B794" s="300"/>
      <c r="C794" s="300"/>
      <c r="D794" s="300"/>
      <c r="E794" s="300"/>
      <c r="F794" s="329"/>
      <c r="G794" s="300"/>
      <c r="H794" s="300"/>
      <c r="I794" s="300"/>
      <c r="J794" s="300"/>
      <c r="K794" s="300"/>
      <c r="L794" s="329"/>
      <c r="M794" s="29" t="str">
        <f t="shared" si="1"/>
        <v/>
      </c>
      <c r="N794" s="31" t="str">
        <f>IFERROR(__xludf.DUMMYFUNCTION("IF(Account!$F794&lt;&gt;"""", VALUE(REGEXREPLACE($I794, ""\,"", ""."")), """")"),"")</f>
        <v/>
      </c>
      <c r="O794" s="33" t="str">
        <f>IF(Account!$F794&lt;&gt;"", DATEVALUE(MID($A794,4,3) &amp; LEFT($A794,3) &amp; RIGHT($A794,4)) + TIMEVALUE($B794), "")</f>
        <v/>
      </c>
      <c r="P794" s="34" t="str">
        <f>IF(Account!$F794&lt;&gt;"", DATEVALUE(MID($C794,4,3) &amp; LEFT($C794,3) &amp; RIGHT($C794,4)), "")</f>
        <v/>
      </c>
      <c r="Q794" s="35" t="str">
        <f t="array" ref="Q794">IF($R794&lt;&gt;"",IFERROR(INDEX(Investment!$A:$A,MATCH($R794,Investment!$H:$H,0))),)</f>
        <v/>
      </c>
      <c r="R794" s="36" t="str">
        <f t="array" ref="R794">IF(AND($Y794="change",$H794="EUR"),IF(AND($AA794="Crédit",$O794=$O795),$R795,IF(AND($AA794="Débit",$O794=$O793),$R793)),IF(OR(AND(OR($E794&lt;&gt;"",$M794=""),$N794&lt;&gt;0),$A794=""),IFERROR(INDEX(Investment!$H:$H,MATCH($E794,Investment!$F:$F,0))),IFERROR(INDEX($R795:$R1119,MATCH(SUBSTITUTE($I794,"-","",1),$K795:$K1119,0)),INDEX($R795:$R1119,MATCH($K794,$K795:$K1119,0)))))</f>
        <v/>
      </c>
      <c r="S794" s="35" t="str">
        <f t="shared" si="2"/>
        <v/>
      </c>
      <c r="T794" s="37" t="str">
        <f t="shared" si="3"/>
        <v/>
      </c>
      <c r="U794" s="38" t="str">
        <f t="shared" si="4"/>
        <v/>
      </c>
      <c r="V794" s="31" t="str">
        <f t="shared" si="5"/>
        <v/>
      </c>
      <c r="W794" s="39" t="str">
        <f>IFERROR(__xludf.DUMMYFUNCTION(" IF(Account!$F794&lt;&gt;"""", SPLIT(Account!$F794, "" ""), """")"),"")</f>
        <v/>
      </c>
      <c r="X794" s="40"/>
      <c r="Y794" s="40"/>
      <c r="Z794" s="40"/>
      <c r="AA794" s="40"/>
      <c r="AB794" s="40"/>
      <c r="AC794" s="40"/>
      <c r="AD794" s="40"/>
      <c r="AE794" s="40"/>
      <c r="AF794" s="40"/>
      <c r="AG794" s="40"/>
      <c r="AH794" s="40"/>
      <c r="AI794" s="40"/>
      <c r="AJ794" s="40"/>
      <c r="AK794" s="40"/>
    </row>
    <row r="795">
      <c r="A795" s="300"/>
      <c r="B795" s="300"/>
      <c r="C795" s="300"/>
      <c r="D795" s="300"/>
      <c r="E795" s="300"/>
      <c r="F795" s="329"/>
      <c r="G795" s="300"/>
      <c r="H795" s="300"/>
      <c r="I795" s="300"/>
      <c r="J795" s="300"/>
      <c r="K795" s="300"/>
      <c r="L795" s="329"/>
      <c r="M795" s="29" t="str">
        <f t="shared" si="1"/>
        <v/>
      </c>
      <c r="N795" s="31" t="str">
        <f>IFERROR(__xludf.DUMMYFUNCTION("IF(Account!$F795&lt;&gt;"""", VALUE(REGEXREPLACE($I795, ""\,"", ""."")), """")"),"")</f>
        <v/>
      </c>
      <c r="O795" s="33" t="str">
        <f>IF(Account!$F795&lt;&gt;"", DATEVALUE(MID($A795,4,3) &amp; LEFT($A795,3) &amp; RIGHT($A795,4)) + TIMEVALUE($B795), "")</f>
        <v/>
      </c>
      <c r="P795" s="34" t="str">
        <f>IF(Account!$F795&lt;&gt;"", DATEVALUE(MID($C795,4,3) &amp; LEFT($C795,3) &amp; RIGHT($C795,4)), "")</f>
        <v/>
      </c>
      <c r="Q795" s="35" t="str">
        <f t="array" ref="Q795">IF($R795&lt;&gt;"",IFERROR(INDEX(Investment!$A:$A,MATCH($R795,Investment!$H:$H,0))),)</f>
        <v/>
      </c>
      <c r="R795" s="36" t="str">
        <f t="array" ref="R795">IF(AND($Y795="change",$H795="EUR"),IF(AND($AA795="Crédit",$O795=$O796),$R796,IF(AND($AA795="Débit",$O795=$O794),$R794)),IF(OR(AND(OR($E795&lt;&gt;"",$M795=""),$N795&lt;&gt;0),$A795=""),IFERROR(INDEX(Investment!$H:$H,MATCH($E795,Investment!$F:$F,0))),IFERROR(INDEX($R796:$R1119,MATCH(SUBSTITUTE($I795,"-","",1),$K796:$K1119,0)),INDEX($R796:$R1119,MATCH($K795,$K796:$K1119,0)))))</f>
        <v/>
      </c>
      <c r="S795" s="35" t="str">
        <f t="shared" si="2"/>
        <v/>
      </c>
      <c r="T795" s="37" t="str">
        <f t="shared" si="3"/>
        <v/>
      </c>
      <c r="U795" s="38" t="str">
        <f t="shared" si="4"/>
        <v/>
      </c>
      <c r="V795" s="31" t="str">
        <f t="shared" si="5"/>
        <v/>
      </c>
      <c r="W795" s="39" t="str">
        <f>IFERROR(__xludf.DUMMYFUNCTION(" IF(Account!$F795&lt;&gt;"""", SPLIT(Account!$F795, "" ""), """")"),"")</f>
        <v/>
      </c>
      <c r="X795" s="40"/>
      <c r="Y795" s="40"/>
      <c r="Z795" s="40"/>
      <c r="AA795" s="40"/>
      <c r="AB795" s="40"/>
      <c r="AC795" s="40"/>
      <c r="AD795" s="40"/>
      <c r="AE795" s="40"/>
      <c r="AF795" s="40"/>
      <c r="AG795" s="40"/>
      <c r="AH795" s="40"/>
      <c r="AI795" s="40"/>
      <c r="AJ795" s="40"/>
      <c r="AK795" s="40"/>
    </row>
    <row r="796">
      <c r="A796" s="300"/>
      <c r="B796" s="300"/>
      <c r="C796" s="300"/>
      <c r="D796" s="300"/>
      <c r="E796" s="300"/>
      <c r="F796" s="329"/>
      <c r="G796" s="300"/>
      <c r="H796" s="300"/>
      <c r="I796" s="300"/>
      <c r="J796" s="300"/>
      <c r="K796" s="300"/>
      <c r="L796" s="329"/>
      <c r="M796" s="29" t="str">
        <f t="shared" si="1"/>
        <v/>
      </c>
      <c r="N796" s="31" t="str">
        <f>IFERROR(__xludf.DUMMYFUNCTION("IF(Account!$F796&lt;&gt;"""", VALUE(REGEXREPLACE($I796, ""\,"", ""."")), """")"),"")</f>
        <v/>
      </c>
      <c r="O796" s="33" t="str">
        <f>IF(Account!$F796&lt;&gt;"", DATEVALUE(MID($A796,4,3) &amp; LEFT($A796,3) &amp; RIGHT($A796,4)) + TIMEVALUE($B796), "")</f>
        <v/>
      </c>
      <c r="P796" s="34" t="str">
        <f>IF(Account!$F796&lt;&gt;"", DATEVALUE(MID($C796,4,3) &amp; LEFT($C796,3) &amp; RIGHT($C796,4)), "")</f>
        <v/>
      </c>
      <c r="Q796" s="35" t="str">
        <f t="array" ref="Q796">IF($R796&lt;&gt;"",IFERROR(INDEX(Investment!$A:$A,MATCH($R796,Investment!$H:$H,0))),)</f>
        <v/>
      </c>
      <c r="R796" s="36" t="str">
        <f t="array" ref="R796">IF(AND($Y796="change",$H796="EUR"),IF(AND($AA796="Crédit",$O796=$O797),$R797,IF(AND($AA796="Débit",$O796=$O795),$R795)),IF(OR(AND(OR($E796&lt;&gt;"",$M796=""),$N796&lt;&gt;0),$A796=""),IFERROR(INDEX(Investment!$H:$H,MATCH($E796,Investment!$F:$F,0))),IFERROR(INDEX($R797:$R1119,MATCH(SUBSTITUTE($I796,"-","",1),$K797:$K1119,0)),INDEX($R797:$R1119,MATCH($K796,$K797:$K1119,0)))))</f>
        <v/>
      </c>
      <c r="S796" s="35" t="str">
        <f t="shared" si="2"/>
        <v/>
      </c>
      <c r="T796" s="37" t="str">
        <f t="shared" si="3"/>
        <v/>
      </c>
      <c r="U796" s="38" t="str">
        <f t="shared" si="4"/>
        <v/>
      </c>
      <c r="V796" s="31" t="str">
        <f t="shared" si="5"/>
        <v/>
      </c>
      <c r="W796" s="39" t="str">
        <f>IFERROR(__xludf.DUMMYFUNCTION(" IF(Account!$F796&lt;&gt;"""", SPLIT(Account!$F796, "" ""), """")"),"")</f>
        <v/>
      </c>
      <c r="X796" s="40"/>
      <c r="Y796" s="40"/>
      <c r="Z796" s="40"/>
      <c r="AA796" s="40"/>
      <c r="AB796" s="40"/>
      <c r="AC796" s="40"/>
      <c r="AD796" s="40"/>
      <c r="AE796" s="40"/>
      <c r="AF796" s="40"/>
      <c r="AG796" s="40"/>
      <c r="AH796" s="40"/>
      <c r="AI796" s="40"/>
      <c r="AJ796" s="40"/>
      <c r="AK796" s="40"/>
    </row>
    <row r="797">
      <c r="A797" s="300"/>
      <c r="B797" s="300"/>
      <c r="C797" s="300"/>
      <c r="D797" s="300"/>
      <c r="E797" s="300"/>
      <c r="F797" s="329"/>
      <c r="G797" s="300"/>
      <c r="H797" s="300"/>
      <c r="I797" s="300"/>
      <c r="J797" s="300"/>
      <c r="K797" s="300"/>
      <c r="L797" s="329"/>
      <c r="M797" s="29" t="str">
        <f t="shared" si="1"/>
        <v/>
      </c>
      <c r="N797" s="31" t="str">
        <f>IFERROR(__xludf.DUMMYFUNCTION("IF(Account!$F797&lt;&gt;"""", VALUE(REGEXREPLACE($I797, ""\,"", ""."")), """")"),"")</f>
        <v/>
      </c>
      <c r="O797" s="33" t="str">
        <f>IF(Account!$F797&lt;&gt;"", DATEVALUE(MID($A797,4,3) &amp; LEFT($A797,3) &amp; RIGHT($A797,4)) + TIMEVALUE($B797), "")</f>
        <v/>
      </c>
      <c r="P797" s="34" t="str">
        <f>IF(Account!$F797&lt;&gt;"", DATEVALUE(MID($C797,4,3) &amp; LEFT($C797,3) &amp; RIGHT($C797,4)), "")</f>
        <v/>
      </c>
      <c r="Q797" s="35" t="str">
        <f t="array" ref="Q797">IF($R797&lt;&gt;"",IFERROR(INDEX(Investment!$A:$A,MATCH($R797,Investment!$H:$H,0))),)</f>
        <v/>
      </c>
      <c r="R797" s="36" t="str">
        <f t="array" ref="R797">IF(AND($Y797="change",$H797="EUR"),IF(AND($AA797="Crédit",$O797=$O798),$R798,IF(AND($AA797="Débit",$O797=$O796),$R796)),IF(OR(AND(OR($E797&lt;&gt;"",$M797=""),$N797&lt;&gt;0),$A797=""),IFERROR(INDEX(Investment!$H:$H,MATCH($E797,Investment!$F:$F,0))),IFERROR(INDEX($R798:$R1119,MATCH(SUBSTITUTE($I797,"-","",1),$K798:$K1119,0)),INDEX($R798:$R1119,MATCH($K797,$K798:$K1119,0)))))</f>
        <v/>
      </c>
      <c r="S797" s="35" t="str">
        <f t="shared" si="2"/>
        <v/>
      </c>
      <c r="T797" s="37" t="str">
        <f t="shared" si="3"/>
        <v/>
      </c>
      <c r="U797" s="38" t="str">
        <f t="shared" si="4"/>
        <v/>
      </c>
      <c r="V797" s="31" t="str">
        <f t="shared" si="5"/>
        <v/>
      </c>
      <c r="W797" s="39" t="str">
        <f>IFERROR(__xludf.DUMMYFUNCTION(" IF(Account!$F797&lt;&gt;"""", SPLIT(Account!$F797, "" ""), """")"),"")</f>
        <v/>
      </c>
      <c r="X797" s="40"/>
      <c r="Y797" s="40"/>
      <c r="Z797" s="40"/>
      <c r="AA797" s="40"/>
      <c r="AB797" s="40"/>
      <c r="AC797" s="40"/>
      <c r="AD797" s="40"/>
      <c r="AE797" s="40"/>
      <c r="AF797" s="40"/>
      <c r="AG797" s="40"/>
      <c r="AH797" s="40"/>
      <c r="AI797" s="40"/>
      <c r="AJ797" s="40"/>
      <c r="AK797" s="40"/>
    </row>
    <row r="798">
      <c r="A798" s="300"/>
      <c r="B798" s="300"/>
      <c r="C798" s="300"/>
      <c r="D798" s="300"/>
      <c r="E798" s="300"/>
      <c r="F798" s="329"/>
      <c r="G798" s="300"/>
      <c r="H798" s="300"/>
      <c r="I798" s="300"/>
      <c r="J798" s="300"/>
      <c r="K798" s="300"/>
      <c r="L798" s="329"/>
      <c r="M798" s="29" t="str">
        <f t="shared" si="1"/>
        <v/>
      </c>
      <c r="N798" s="31" t="str">
        <f>IFERROR(__xludf.DUMMYFUNCTION("IF(Account!$F798&lt;&gt;"""", VALUE(REGEXREPLACE($I798, ""\,"", ""."")), """")"),"")</f>
        <v/>
      </c>
      <c r="O798" s="33" t="str">
        <f>IF(Account!$F798&lt;&gt;"", DATEVALUE(MID($A798,4,3) &amp; LEFT($A798,3) &amp; RIGHT($A798,4)) + TIMEVALUE($B798), "")</f>
        <v/>
      </c>
      <c r="P798" s="34" t="str">
        <f>IF(Account!$F798&lt;&gt;"", DATEVALUE(MID($C798,4,3) &amp; LEFT($C798,3) &amp; RIGHT($C798,4)), "")</f>
        <v/>
      </c>
      <c r="Q798" s="35" t="str">
        <f t="array" ref="Q798">IF($R798&lt;&gt;"",IFERROR(INDEX(Investment!$A:$A,MATCH($R798,Investment!$H:$H,0))),)</f>
        <v/>
      </c>
      <c r="R798" s="36" t="str">
        <f t="array" ref="R798">IF(AND($Y798="change",$H798="EUR"),IF(AND($AA798="Crédit",$O798=$O799),$R799,IF(AND($AA798="Débit",$O798=$O797),$R797)),IF(OR(AND(OR($E798&lt;&gt;"",$M798=""),$N798&lt;&gt;0),$A798=""),IFERROR(INDEX(Investment!$H:$H,MATCH($E798,Investment!$F:$F,0))),IFERROR(INDEX($R799:$R1119,MATCH(SUBSTITUTE($I798,"-","",1),$K799:$K1119,0)),INDEX($R799:$R1119,MATCH($K798,$K799:$K1119,0)))))</f>
        <v/>
      </c>
      <c r="S798" s="35" t="str">
        <f t="shared" si="2"/>
        <v/>
      </c>
      <c r="T798" s="37" t="str">
        <f t="shared" si="3"/>
        <v/>
      </c>
      <c r="U798" s="38" t="str">
        <f t="shared" si="4"/>
        <v/>
      </c>
      <c r="V798" s="31" t="str">
        <f t="shared" si="5"/>
        <v/>
      </c>
      <c r="W798" s="39" t="str">
        <f>IFERROR(__xludf.DUMMYFUNCTION(" IF(Account!$F798&lt;&gt;"""", SPLIT(Account!$F798, "" ""), """")"),"")</f>
        <v/>
      </c>
      <c r="X798" s="40"/>
      <c r="Y798" s="40"/>
      <c r="Z798" s="40"/>
      <c r="AA798" s="40"/>
      <c r="AB798" s="40"/>
      <c r="AC798" s="40"/>
      <c r="AD798" s="40"/>
      <c r="AE798" s="40"/>
      <c r="AF798" s="40"/>
      <c r="AG798" s="40"/>
      <c r="AH798" s="40"/>
      <c r="AI798" s="40"/>
      <c r="AJ798" s="40"/>
      <c r="AK798" s="40"/>
    </row>
    <row r="799">
      <c r="A799" s="300"/>
      <c r="B799" s="300"/>
      <c r="C799" s="300"/>
      <c r="D799" s="300"/>
      <c r="E799" s="300"/>
      <c r="F799" s="329"/>
      <c r="G799" s="300"/>
      <c r="H799" s="300"/>
      <c r="I799" s="300"/>
      <c r="J799" s="300"/>
      <c r="K799" s="300"/>
      <c r="L799" s="329"/>
      <c r="M799" s="29" t="str">
        <f t="shared" si="1"/>
        <v/>
      </c>
      <c r="N799" s="31" t="str">
        <f>IFERROR(__xludf.DUMMYFUNCTION("IF(Account!$F799&lt;&gt;"""", VALUE(REGEXREPLACE($I799, ""\,"", ""."")), """")"),"")</f>
        <v/>
      </c>
      <c r="O799" s="33" t="str">
        <f>IF(Account!$F799&lt;&gt;"", DATEVALUE(MID($A799,4,3) &amp; LEFT($A799,3) &amp; RIGHT($A799,4)) + TIMEVALUE($B799), "")</f>
        <v/>
      </c>
      <c r="P799" s="34" t="str">
        <f>IF(Account!$F799&lt;&gt;"", DATEVALUE(MID($C799,4,3) &amp; LEFT($C799,3) &amp; RIGHT($C799,4)), "")</f>
        <v/>
      </c>
      <c r="Q799" s="35" t="str">
        <f t="array" ref="Q799">IF($R799&lt;&gt;"",IFERROR(INDEX(Investment!$A:$A,MATCH($R799,Investment!$H:$H,0))),)</f>
        <v/>
      </c>
      <c r="R799" s="36" t="str">
        <f t="array" ref="R799">IF(AND($Y799="change",$H799="EUR"),IF(AND($AA799="Crédit",$O799=$O800),$R800,IF(AND($AA799="Débit",$O799=$O798),$R798)),IF(OR(AND(OR($E799&lt;&gt;"",$M799=""),$N799&lt;&gt;0),$A799=""),IFERROR(INDEX(Investment!$H:$H,MATCH($E799,Investment!$F:$F,0))),IFERROR(INDEX($R800:$R1119,MATCH(SUBSTITUTE($I799,"-","",1),$K800:$K1119,0)),INDEX($R800:$R1119,MATCH($K799,$K800:$K1119,0)))))</f>
        <v/>
      </c>
      <c r="S799" s="35" t="str">
        <f t="shared" si="2"/>
        <v/>
      </c>
      <c r="T799" s="37" t="str">
        <f t="shared" si="3"/>
        <v/>
      </c>
      <c r="U799" s="38" t="str">
        <f t="shared" si="4"/>
        <v/>
      </c>
      <c r="V799" s="31" t="str">
        <f t="shared" si="5"/>
        <v/>
      </c>
      <c r="W799" s="39" t="str">
        <f>IFERROR(__xludf.DUMMYFUNCTION(" IF(Account!$F799&lt;&gt;"""", SPLIT(Account!$F799, "" ""), """")"),"")</f>
        <v/>
      </c>
      <c r="X799" s="40"/>
      <c r="Y799" s="40"/>
      <c r="Z799" s="40"/>
      <c r="AA799" s="40"/>
      <c r="AB799" s="40"/>
      <c r="AC799" s="40"/>
      <c r="AD799" s="40"/>
      <c r="AE799" s="40"/>
      <c r="AF799" s="40"/>
      <c r="AG799" s="40"/>
      <c r="AH799" s="40"/>
      <c r="AI799" s="40"/>
      <c r="AJ799" s="40"/>
      <c r="AK799" s="40"/>
    </row>
    <row r="800">
      <c r="A800" s="300"/>
      <c r="B800" s="300"/>
      <c r="C800" s="300"/>
      <c r="D800" s="300"/>
      <c r="E800" s="300"/>
      <c r="F800" s="329"/>
      <c r="G800" s="300"/>
      <c r="H800" s="300"/>
      <c r="I800" s="300"/>
      <c r="J800" s="300"/>
      <c r="K800" s="300"/>
      <c r="L800" s="329"/>
      <c r="M800" s="29" t="str">
        <f t="shared" si="1"/>
        <v/>
      </c>
      <c r="N800" s="31" t="str">
        <f>IFERROR(__xludf.DUMMYFUNCTION("IF(Account!$F800&lt;&gt;"""", VALUE(REGEXREPLACE($I800, ""\,"", ""."")), """")"),"")</f>
        <v/>
      </c>
      <c r="O800" s="33" t="str">
        <f>IF(Account!$F800&lt;&gt;"", DATEVALUE(MID($A800,4,3) &amp; LEFT($A800,3) &amp; RIGHT($A800,4)) + TIMEVALUE($B800), "")</f>
        <v/>
      </c>
      <c r="P800" s="34" t="str">
        <f>IF(Account!$F800&lt;&gt;"", DATEVALUE(MID($C800,4,3) &amp; LEFT($C800,3) &amp; RIGHT($C800,4)), "")</f>
        <v/>
      </c>
      <c r="Q800" s="35" t="str">
        <f t="array" ref="Q800">IF($R800&lt;&gt;"",IFERROR(INDEX(Investment!$A:$A,MATCH($R800,Investment!$H:$H,0))),)</f>
        <v/>
      </c>
      <c r="R800" s="36" t="str">
        <f t="array" ref="R800">IF(AND($Y800="change",$H800="EUR"),IF(AND($AA800="Crédit",$O800=$O801),$R801,IF(AND($AA800="Débit",$O800=$O799),$R799)),IF(OR(AND(OR($E800&lt;&gt;"",$M800=""),$N800&lt;&gt;0),$A800=""),IFERROR(INDEX(Investment!$H:$H,MATCH($E800,Investment!$F:$F,0))),IFERROR(INDEX($R801:$R1119,MATCH(SUBSTITUTE($I800,"-","",1),$K801:$K1119,0)),INDEX($R801:$R1119,MATCH($K800,$K801:$K1119,0)))))</f>
        <v/>
      </c>
      <c r="S800" s="35" t="str">
        <f t="shared" si="2"/>
        <v/>
      </c>
      <c r="T800" s="37" t="str">
        <f t="shared" si="3"/>
        <v/>
      </c>
      <c r="U800" s="38" t="str">
        <f t="shared" si="4"/>
        <v/>
      </c>
      <c r="V800" s="31" t="str">
        <f t="shared" si="5"/>
        <v/>
      </c>
      <c r="W800" s="39" t="str">
        <f>IFERROR(__xludf.DUMMYFUNCTION(" IF(Account!$F800&lt;&gt;"""", SPLIT(Account!$F800, "" ""), """")"),"")</f>
        <v/>
      </c>
      <c r="X800" s="40"/>
      <c r="Y800" s="40"/>
      <c r="Z800" s="40"/>
      <c r="AA800" s="40"/>
      <c r="AB800" s="40"/>
      <c r="AC800" s="40"/>
      <c r="AD800" s="40"/>
      <c r="AE800" s="40"/>
      <c r="AF800" s="40"/>
      <c r="AG800" s="40"/>
      <c r="AH800" s="40"/>
      <c r="AI800" s="40"/>
      <c r="AJ800" s="40"/>
      <c r="AK800" s="40"/>
    </row>
    <row r="801">
      <c r="A801" s="300"/>
      <c r="B801" s="300"/>
      <c r="C801" s="300"/>
      <c r="D801" s="300"/>
      <c r="E801" s="300"/>
      <c r="F801" s="329"/>
      <c r="G801" s="300"/>
      <c r="H801" s="300"/>
      <c r="I801" s="300"/>
      <c r="J801" s="300"/>
      <c r="K801" s="300"/>
      <c r="L801" s="329"/>
      <c r="M801" s="29" t="str">
        <f t="shared" si="1"/>
        <v/>
      </c>
      <c r="N801" s="31" t="str">
        <f>IFERROR(__xludf.DUMMYFUNCTION("IF(Account!$F801&lt;&gt;"""", VALUE(REGEXREPLACE($I801, ""\,"", ""."")), """")"),"")</f>
        <v/>
      </c>
      <c r="O801" s="33" t="str">
        <f>IF(Account!$F801&lt;&gt;"", DATEVALUE(MID($A801,4,3) &amp; LEFT($A801,3) &amp; RIGHT($A801,4)) + TIMEVALUE($B801), "")</f>
        <v/>
      </c>
      <c r="P801" s="34" t="str">
        <f>IF(Account!$F801&lt;&gt;"", DATEVALUE(MID($C801,4,3) &amp; LEFT($C801,3) &amp; RIGHT($C801,4)), "")</f>
        <v/>
      </c>
      <c r="Q801" s="35" t="str">
        <f t="array" ref="Q801">IF($R801&lt;&gt;"",IFERROR(INDEX(Investment!$A:$A,MATCH($R801,Investment!$H:$H,0))),)</f>
        <v/>
      </c>
      <c r="R801" s="36" t="str">
        <f t="array" ref="R801">IF(AND($Y801="change",$H801="EUR"),IF(AND($AA801="Crédit",$O801=$O802),$R802,IF(AND($AA801="Débit",$O801=$O800),$R800)),IF(OR(AND(OR($E801&lt;&gt;"",$M801=""),$N801&lt;&gt;0),$A801=""),IFERROR(INDEX(Investment!$H:$H,MATCH($E801,Investment!$F:$F,0))),IFERROR(INDEX($R802:$R1119,MATCH(SUBSTITUTE($I801,"-","",1),$K802:$K1119,0)),INDEX($R802:$R1119,MATCH($K801,$K802:$K1119,0)))))</f>
        <v/>
      </c>
      <c r="S801" s="35" t="str">
        <f t="shared" si="2"/>
        <v/>
      </c>
      <c r="T801" s="37" t="str">
        <f t="shared" si="3"/>
        <v/>
      </c>
      <c r="U801" s="38" t="str">
        <f t="shared" si="4"/>
        <v/>
      </c>
      <c r="V801" s="31" t="str">
        <f t="shared" si="5"/>
        <v/>
      </c>
      <c r="W801" s="39" t="str">
        <f>IFERROR(__xludf.DUMMYFUNCTION(" IF(Account!$F801&lt;&gt;"""", SPLIT(Account!$F801, "" ""), """")"),"")</f>
        <v/>
      </c>
      <c r="X801" s="40"/>
      <c r="Y801" s="40"/>
      <c r="Z801" s="40"/>
      <c r="AA801" s="40"/>
      <c r="AB801" s="40"/>
      <c r="AC801" s="40"/>
      <c r="AD801" s="40"/>
      <c r="AE801" s="40"/>
      <c r="AF801" s="40"/>
      <c r="AG801" s="40"/>
      <c r="AH801" s="40"/>
      <c r="AI801" s="40"/>
      <c r="AJ801" s="40"/>
      <c r="AK801" s="40"/>
    </row>
    <row r="802">
      <c r="A802" s="300"/>
      <c r="B802" s="300"/>
      <c r="C802" s="300"/>
      <c r="D802" s="300"/>
      <c r="E802" s="300"/>
      <c r="F802" s="329"/>
      <c r="G802" s="300"/>
      <c r="H802" s="300"/>
      <c r="I802" s="300"/>
      <c r="J802" s="300"/>
      <c r="K802" s="300"/>
      <c r="L802" s="329"/>
      <c r="M802" s="29" t="str">
        <f t="shared" si="1"/>
        <v/>
      </c>
      <c r="N802" s="31" t="str">
        <f>IFERROR(__xludf.DUMMYFUNCTION("IF(Account!$F802&lt;&gt;"""", VALUE(REGEXREPLACE($I802, ""\,"", ""."")), """")"),"")</f>
        <v/>
      </c>
      <c r="O802" s="33" t="str">
        <f>IF(Account!$F802&lt;&gt;"", DATEVALUE(MID($A802,4,3) &amp; LEFT($A802,3) &amp; RIGHT($A802,4)) + TIMEVALUE($B802), "")</f>
        <v/>
      </c>
      <c r="P802" s="34" t="str">
        <f>IF(Account!$F802&lt;&gt;"", DATEVALUE(MID($C802,4,3) &amp; LEFT($C802,3) &amp; RIGHT($C802,4)), "")</f>
        <v/>
      </c>
      <c r="Q802" s="35" t="str">
        <f t="array" ref="Q802">IF($R802&lt;&gt;"",IFERROR(INDEX(Investment!$A:$A,MATCH($R802,Investment!$H:$H,0))),)</f>
        <v/>
      </c>
      <c r="R802" s="36" t="str">
        <f t="array" ref="R802">IF(AND($Y802="change",$H802="EUR"),IF(AND($AA802="Crédit",$O802=$O803),$R803,IF(AND($AA802="Débit",$O802=$O801),$R801)),IF(OR(AND(OR($E802&lt;&gt;"",$M802=""),$N802&lt;&gt;0),$A802=""),IFERROR(INDEX(Investment!$H:$H,MATCH($E802,Investment!$F:$F,0))),IFERROR(INDEX($R803:$R1119,MATCH(SUBSTITUTE($I802,"-","",1),$K803:$K1119,0)),INDEX($R803:$R1119,MATCH($K802,$K803:$K1119,0)))))</f>
        <v/>
      </c>
      <c r="S802" s="35" t="str">
        <f t="shared" si="2"/>
        <v/>
      </c>
      <c r="T802" s="37" t="str">
        <f t="shared" si="3"/>
        <v/>
      </c>
      <c r="U802" s="38" t="str">
        <f t="shared" si="4"/>
        <v/>
      </c>
      <c r="V802" s="31" t="str">
        <f t="shared" si="5"/>
        <v/>
      </c>
      <c r="W802" s="39" t="str">
        <f>IFERROR(__xludf.DUMMYFUNCTION(" IF(Account!$F802&lt;&gt;"""", SPLIT(Account!$F802, "" ""), """")"),"")</f>
        <v/>
      </c>
      <c r="X802" s="40"/>
      <c r="Y802" s="40"/>
      <c r="Z802" s="40"/>
      <c r="AA802" s="40"/>
      <c r="AB802" s="40"/>
      <c r="AC802" s="40"/>
      <c r="AD802" s="40"/>
      <c r="AE802" s="40"/>
      <c r="AF802" s="40"/>
      <c r="AG802" s="40"/>
      <c r="AH802" s="40"/>
      <c r="AI802" s="40"/>
      <c r="AJ802" s="40"/>
      <c r="AK802" s="40"/>
    </row>
    <row r="803">
      <c r="A803" s="300"/>
      <c r="B803" s="300"/>
      <c r="C803" s="300"/>
      <c r="D803" s="300"/>
      <c r="E803" s="300"/>
      <c r="F803" s="329"/>
      <c r="G803" s="300"/>
      <c r="H803" s="300"/>
      <c r="I803" s="300"/>
      <c r="J803" s="300"/>
      <c r="K803" s="300"/>
      <c r="L803" s="329"/>
      <c r="M803" s="29" t="str">
        <f t="shared" si="1"/>
        <v/>
      </c>
      <c r="N803" s="31" t="str">
        <f>IFERROR(__xludf.DUMMYFUNCTION("IF(Account!$F803&lt;&gt;"""", VALUE(REGEXREPLACE($I803, ""\,"", ""."")), """")"),"")</f>
        <v/>
      </c>
      <c r="O803" s="33" t="str">
        <f>IF(Account!$F803&lt;&gt;"", DATEVALUE(MID($A803,4,3) &amp; LEFT($A803,3) &amp; RIGHT($A803,4)) + TIMEVALUE($B803), "")</f>
        <v/>
      </c>
      <c r="P803" s="34" t="str">
        <f>IF(Account!$F803&lt;&gt;"", DATEVALUE(MID($C803,4,3) &amp; LEFT($C803,3) &amp; RIGHT($C803,4)), "")</f>
        <v/>
      </c>
      <c r="Q803" s="35" t="str">
        <f t="array" ref="Q803">IF($R803&lt;&gt;"",IFERROR(INDEX(Investment!$A:$A,MATCH($R803,Investment!$H:$H,0))),)</f>
        <v/>
      </c>
      <c r="R803" s="36" t="str">
        <f t="array" ref="R803">IF(AND($Y803="change",$H803="EUR"),IF(AND($AA803="Crédit",$O803=$O804),$R804,IF(AND($AA803="Débit",$O803=$O802),$R802)),IF(OR(AND(OR($E803&lt;&gt;"",$M803=""),$N803&lt;&gt;0),$A803=""),IFERROR(INDEX(Investment!$H:$H,MATCH($E803,Investment!$F:$F,0))),IFERROR(INDEX($R804:$R1119,MATCH(SUBSTITUTE($I803,"-","",1),$K804:$K1119,0)),INDEX($R804:$R1119,MATCH($K803,$K804:$K1119,0)))))</f>
        <v/>
      </c>
      <c r="S803" s="35" t="str">
        <f t="shared" si="2"/>
        <v/>
      </c>
      <c r="T803" s="37" t="str">
        <f t="shared" si="3"/>
        <v/>
      </c>
      <c r="U803" s="38" t="str">
        <f t="shared" si="4"/>
        <v/>
      </c>
      <c r="V803" s="31" t="str">
        <f t="shared" si="5"/>
        <v/>
      </c>
      <c r="W803" s="39" t="str">
        <f>IFERROR(__xludf.DUMMYFUNCTION(" IF(Account!$F803&lt;&gt;"""", SPLIT(Account!$F803, "" ""), """")"),"")</f>
        <v/>
      </c>
      <c r="X803" s="40"/>
      <c r="Y803" s="40"/>
      <c r="Z803" s="40"/>
      <c r="AA803" s="40"/>
      <c r="AB803" s="40"/>
      <c r="AC803" s="40"/>
      <c r="AD803" s="40"/>
      <c r="AE803" s="40"/>
      <c r="AF803" s="40"/>
      <c r="AG803" s="40"/>
      <c r="AH803" s="40"/>
      <c r="AI803" s="40"/>
      <c r="AJ803" s="40"/>
      <c r="AK803" s="40"/>
    </row>
    <row r="804">
      <c r="A804" s="300"/>
      <c r="B804" s="300"/>
      <c r="C804" s="300"/>
      <c r="D804" s="300"/>
      <c r="E804" s="300"/>
      <c r="F804" s="329"/>
      <c r="G804" s="300"/>
      <c r="H804" s="300"/>
      <c r="I804" s="300"/>
      <c r="J804" s="300"/>
      <c r="K804" s="300"/>
      <c r="L804" s="329"/>
      <c r="M804" s="29" t="str">
        <f t="shared" si="1"/>
        <v/>
      </c>
      <c r="N804" s="31" t="str">
        <f>IFERROR(__xludf.DUMMYFUNCTION("IF(Account!$F804&lt;&gt;"""", VALUE(REGEXREPLACE($I804, ""\,"", ""."")), """")"),"")</f>
        <v/>
      </c>
      <c r="O804" s="33" t="str">
        <f>IF(Account!$F804&lt;&gt;"", DATEVALUE(MID($A804,4,3) &amp; LEFT($A804,3) &amp; RIGHT($A804,4)) + TIMEVALUE($B804), "")</f>
        <v/>
      </c>
      <c r="P804" s="34" t="str">
        <f>IF(Account!$F804&lt;&gt;"", DATEVALUE(MID($C804,4,3) &amp; LEFT($C804,3) &amp; RIGHT($C804,4)), "")</f>
        <v/>
      </c>
      <c r="Q804" s="35" t="str">
        <f t="array" ref="Q804">IF($R804&lt;&gt;"",IFERROR(INDEX(Investment!$A:$A,MATCH($R804,Investment!$H:$H,0))),)</f>
        <v/>
      </c>
      <c r="R804" s="36" t="str">
        <f t="array" ref="R804">IF(AND($Y804="change",$H804="EUR"),IF(AND($AA804="Crédit",$O804=$O805),$R805,IF(AND($AA804="Débit",$O804=$O803),$R803)),IF(OR(AND(OR($E804&lt;&gt;"",$M804=""),$N804&lt;&gt;0),$A804=""),IFERROR(INDEX(Investment!$H:$H,MATCH($E804,Investment!$F:$F,0))),IFERROR(INDEX($R805:$R1119,MATCH(SUBSTITUTE($I804,"-","",1),$K805:$K1119,0)),INDEX($R805:$R1119,MATCH($K804,$K805:$K1119,0)))))</f>
        <v/>
      </c>
      <c r="S804" s="35" t="str">
        <f t="shared" si="2"/>
        <v/>
      </c>
      <c r="T804" s="37" t="str">
        <f t="shared" si="3"/>
        <v/>
      </c>
      <c r="U804" s="38" t="str">
        <f t="shared" si="4"/>
        <v/>
      </c>
      <c r="V804" s="31" t="str">
        <f t="shared" si="5"/>
        <v/>
      </c>
      <c r="W804" s="39" t="str">
        <f>IFERROR(__xludf.DUMMYFUNCTION(" IF(Account!$F804&lt;&gt;"""", SPLIT(Account!$F804, "" ""), """")"),"")</f>
        <v/>
      </c>
      <c r="X804" s="40"/>
      <c r="Y804" s="40"/>
      <c r="Z804" s="40"/>
      <c r="AA804" s="40"/>
      <c r="AB804" s="40"/>
      <c r="AC804" s="40"/>
      <c r="AD804" s="40"/>
      <c r="AE804" s="40"/>
      <c r="AF804" s="40"/>
      <c r="AG804" s="40"/>
      <c r="AH804" s="40"/>
      <c r="AI804" s="40"/>
      <c r="AJ804" s="40"/>
      <c r="AK804" s="40"/>
    </row>
    <row r="805">
      <c r="A805" s="300"/>
      <c r="B805" s="300"/>
      <c r="C805" s="300"/>
      <c r="D805" s="300"/>
      <c r="E805" s="300"/>
      <c r="F805" s="329"/>
      <c r="G805" s="300"/>
      <c r="H805" s="300"/>
      <c r="I805" s="300"/>
      <c r="J805" s="300"/>
      <c r="K805" s="300"/>
      <c r="L805" s="329"/>
      <c r="M805" s="29" t="str">
        <f t="shared" si="1"/>
        <v/>
      </c>
      <c r="N805" s="31" t="str">
        <f>IFERROR(__xludf.DUMMYFUNCTION("IF(Account!$F805&lt;&gt;"""", VALUE(REGEXREPLACE($I805, ""\,"", ""."")), """")"),"")</f>
        <v/>
      </c>
      <c r="O805" s="33" t="str">
        <f>IF(Account!$F805&lt;&gt;"", DATEVALUE(MID($A805,4,3) &amp; LEFT($A805,3) &amp; RIGHT($A805,4)) + TIMEVALUE($B805), "")</f>
        <v/>
      </c>
      <c r="P805" s="34" t="str">
        <f>IF(Account!$F805&lt;&gt;"", DATEVALUE(MID($C805,4,3) &amp; LEFT($C805,3) &amp; RIGHT($C805,4)), "")</f>
        <v/>
      </c>
      <c r="Q805" s="35" t="str">
        <f t="array" ref="Q805">IF($R805&lt;&gt;"",IFERROR(INDEX(Investment!$A:$A,MATCH($R805,Investment!$H:$H,0))),)</f>
        <v/>
      </c>
      <c r="R805" s="36" t="str">
        <f t="array" ref="R805">IF(AND($Y805="change",$H805="EUR"),IF(AND($AA805="Crédit",$O805=$O806),$R806,IF(AND($AA805="Débit",$O805=$O804),$R804)),IF(OR(AND(OR($E805&lt;&gt;"",$M805=""),$N805&lt;&gt;0),$A805=""),IFERROR(INDEX(Investment!$H:$H,MATCH($E805,Investment!$F:$F,0))),IFERROR(INDEX($R806:$R1119,MATCH(SUBSTITUTE($I805,"-","",1),$K806:$K1119,0)),INDEX($R806:$R1119,MATCH($K805,$K806:$K1119,0)))))</f>
        <v/>
      </c>
      <c r="S805" s="35" t="str">
        <f t="shared" si="2"/>
        <v/>
      </c>
      <c r="T805" s="37" t="str">
        <f t="shared" si="3"/>
        <v/>
      </c>
      <c r="U805" s="38" t="str">
        <f t="shared" si="4"/>
        <v/>
      </c>
      <c r="V805" s="31" t="str">
        <f t="shared" si="5"/>
        <v/>
      </c>
      <c r="W805" s="39" t="str">
        <f>IFERROR(__xludf.DUMMYFUNCTION(" IF(Account!$F805&lt;&gt;"""", SPLIT(Account!$F805, "" ""), """")"),"")</f>
        <v/>
      </c>
      <c r="X805" s="40"/>
      <c r="Y805" s="40"/>
      <c r="Z805" s="40"/>
      <c r="AA805" s="40"/>
      <c r="AB805" s="40"/>
      <c r="AC805" s="40"/>
      <c r="AD805" s="40"/>
      <c r="AE805" s="40"/>
      <c r="AF805" s="40"/>
      <c r="AG805" s="40"/>
      <c r="AH805" s="40"/>
      <c r="AI805" s="40"/>
      <c r="AJ805" s="40"/>
      <c r="AK805" s="40"/>
    </row>
    <row r="806">
      <c r="A806" s="300"/>
      <c r="B806" s="300"/>
      <c r="C806" s="300"/>
      <c r="D806" s="300"/>
      <c r="E806" s="300"/>
      <c r="F806" s="329"/>
      <c r="G806" s="300"/>
      <c r="H806" s="300"/>
      <c r="I806" s="300"/>
      <c r="J806" s="300"/>
      <c r="K806" s="300"/>
      <c r="L806" s="329"/>
      <c r="M806" s="29" t="str">
        <f t="shared" si="1"/>
        <v/>
      </c>
      <c r="N806" s="31" t="str">
        <f>IFERROR(__xludf.DUMMYFUNCTION("IF(Account!$F806&lt;&gt;"""", VALUE(REGEXREPLACE($I806, ""\,"", ""."")), """")"),"")</f>
        <v/>
      </c>
      <c r="O806" s="33" t="str">
        <f>IF(Account!$F806&lt;&gt;"", DATEVALUE(MID($A806,4,3) &amp; LEFT($A806,3) &amp; RIGHT($A806,4)) + TIMEVALUE($B806), "")</f>
        <v/>
      </c>
      <c r="P806" s="34" t="str">
        <f>IF(Account!$F806&lt;&gt;"", DATEVALUE(MID($C806,4,3) &amp; LEFT($C806,3) &amp; RIGHT($C806,4)), "")</f>
        <v/>
      </c>
      <c r="Q806" s="35" t="str">
        <f t="array" ref="Q806">IF($R806&lt;&gt;"",IFERROR(INDEX(Investment!$A:$A,MATCH($R806,Investment!$H:$H,0))),)</f>
        <v/>
      </c>
      <c r="R806" s="36" t="str">
        <f t="array" ref="R806">IF(AND($Y806="change",$H806="EUR"),IF(AND($AA806="Crédit",$O806=$O807),$R807,IF(AND($AA806="Débit",$O806=$O805),$R805)),IF(OR(AND(OR($E806&lt;&gt;"",$M806=""),$N806&lt;&gt;0),$A806=""),IFERROR(INDEX(Investment!$H:$H,MATCH($E806,Investment!$F:$F,0))),IFERROR(INDEX($R807:$R1119,MATCH(SUBSTITUTE($I806,"-","",1),$K807:$K1119,0)),INDEX($R807:$R1119,MATCH($K806,$K807:$K1119,0)))))</f>
        <v/>
      </c>
      <c r="S806" s="35" t="str">
        <f t="shared" si="2"/>
        <v/>
      </c>
      <c r="T806" s="37" t="str">
        <f t="shared" si="3"/>
        <v/>
      </c>
      <c r="U806" s="38" t="str">
        <f t="shared" si="4"/>
        <v/>
      </c>
      <c r="V806" s="31" t="str">
        <f t="shared" si="5"/>
        <v/>
      </c>
      <c r="W806" s="39" t="str">
        <f>IFERROR(__xludf.DUMMYFUNCTION(" IF(Account!$F806&lt;&gt;"""", SPLIT(Account!$F806, "" ""), """")"),"")</f>
        <v/>
      </c>
      <c r="X806" s="40"/>
      <c r="Y806" s="40"/>
      <c r="Z806" s="40"/>
      <c r="AA806" s="40"/>
      <c r="AB806" s="40"/>
      <c r="AC806" s="40"/>
      <c r="AD806" s="40"/>
      <c r="AE806" s="40"/>
      <c r="AF806" s="40"/>
      <c r="AG806" s="40"/>
      <c r="AH806" s="40"/>
      <c r="AI806" s="40"/>
      <c r="AJ806" s="40"/>
      <c r="AK806" s="40"/>
    </row>
    <row r="807">
      <c r="A807" s="300"/>
      <c r="B807" s="300"/>
      <c r="C807" s="300"/>
      <c r="D807" s="300"/>
      <c r="E807" s="300"/>
      <c r="F807" s="329"/>
      <c r="G807" s="300"/>
      <c r="H807" s="300"/>
      <c r="I807" s="300"/>
      <c r="J807" s="300"/>
      <c r="K807" s="300"/>
      <c r="L807" s="329"/>
      <c r="M807" s="29" t="str">
        <f t="shared" si="1"/>
        <v/>
      </c>
      <c r="N807" s="31" t="str">
        <f>IFERROR(__xludf.DUMMYFUNCTION("IF(Account!$F807&lt;&gt;"""", VALUE(REGEXREPLACE($I807, ""\,"", ""."")), """")"),"")</f>
        <v/>
      </c>
      <c r="O807" s="33" t="str">
        <f>IF(Account!$F807&lt;&gt;"", DATEVALUE(MID($A807,4,3) &amp; LEFT($A807,3) &amp; RIGHT($A807,4)) + TIMEVALUE($B807), "")</f>
        <v/>
      </c>
      <c r="P807" s="34" t="str">
        <f>IF(Account!$F807&lt;&gt;"", DATEVALUE(MID($C807,4,3) &amp; LEFT($C807,3) &amp; RIGHT($C807,4)), "")</f>
        <v/>
      </c>
      <c r="Q807" s="35" t="str">
        <f t="array" ref="Q807">IF($R807&lt;&gt;"",IFERROR(INDEX(Investment!$A:$A,MATCH($R807,Investment!$H:$H,0))),)</f>
        <v/>
      </c>
      <c r="R807" s="36" t="str">
        <f t="array" ref="R807">IF(AND($Y807="change",$H807="EUR"),IF(AND($AA807="Crédit",$O807=$O808),$R808,IF(AND($AA807="Débit",$O807=$O806),$R806)),IF(OR(AND(OR($E807&lt;&gt;"",$M807=""),$N807&lt;&gt;0),$A807=""),IFERROR(INDEX(Investment!$H:$H,MATCH($E807,Investment!$F:$F,0))),IFERROR(INDEX($R808:$R1119,MATCH(SUBSTITUTE($I807,"-","",1),$K808:$K1119,0)),INDEX($R808:$R1119,MATCH($K807,$K808:$K1119,0)))))</f>
        <v/>
      </c>
      <c r="S807" s="35" t="str">
        <f t="shared" si="2"/>
        <v/>
      </c>
      <c r="T807" s="37" t="str">
        <f t="shared" si="3"/>
        <v/>
      </c>
      <c r="U807" s="38" t="str">
        <f t="shared" si="4"/>
        <v/>
      </c>
      <c r="V807" s="31" t="str">
        <f t="shared" si="5"/>
        <v/>
      </c>
      <c r="W807" s="39" t="str">
        <f>IFERROR(__xludf.DUMMYFUNCTION(" IF(Account!$F807&lt;&gt;"""", SPLIT(Account!$F807, "" ""), """")"),"")</f>
        <v/>
      </c>
      <c r="X807" s="40"/>
      <c r="Y807" s="40"/>
      <c r="Z807" s="40"/>
      <c r="AA807" s="40"/>
      <c r="AB807" s="40"/>
      <c r="AC807" s="40"/>
      <c r="AD807" s="40"/>
      <c r="AE807" s="40"/>
      <c r="AF807" s="40"/>
      <c r="AG807" s="40"/>
      <c r="AH807" s="40"/>
      <c r="AI807" s="40"/>
      <c r="AJ807" s="40"/>
      <c r="AK807" s="40"/>
    </row>
    <row r="808">
      <c r="A808" s="300"/>
      <c r="B808" s="300"/>
      <c r="C808" s="300"/>
      <c r="D808" s="300"/>
      <c r="E808" s="300"/>
      <c r="F808" s="329"/>
      <c r="G808" s="300"/>
      <c r="H808" s="300"/>
      <c r="I808" s="300"/>
      <c r="J808" s="300"/>
      <c r="K808" s="300"/>
      <c r="L808" s="329"/>
      <c r="M808" s="29" t="str">
        <f t="shared" si="1"/>
        <v/>
      </c>
      <c r="N808" s="31" t="str">
        <f>IFERROR(__xludf.DUMMYFUNCTION("IF(Account!$F808&lt;&gt;"""", VALUE(REGEXREPLACE($I808, ""\,"", ""."")), """")"),"")</f>
        <v/>
      </c>
      <c r="O808" s="33" t="str">
        <f>IF(Account!$F808&lt;&gt;"", DATEVALUE(MID($A808,4,3) &amp; LEFT($A808,3) &amp; RIGHT($A808,4)) + TIMEVALUE($B808), "")</f>
        <v/>
      </c>
      <c r="P808" s="34" t="str">
        <f>IF(Account!$F808&lt;&gt;"", DATEVALUE(MID($C808,4,3) &amp; LEFT($C808,3) &amp; RIGHT($C808,4)), "")</f>
        <v/>
      </c>
      <c r="Q808" s="35" t="str">
        <f t="array" ref="Q808">IF($R808&lt;&gt;"",IFERROR(INDEX(Investment!$A:$A,MATCH($R808,Investment!$H:$H,0))),)</f>
        <v/>
      </c>
      <c r="R808" s="36" t="str">
        <f t="array" ref="R808">IF(AND($Y808="change",$H808="EUR"),IF(AND($AA808="Crédit",$O808=$O809),$R809,IF(AND($AA808="Débit",$O808=$O807),$R807)),IF(OR(AND(OR($E808&lt;&gt;"",$M808=""),$N808&lt;&gt;0),$A808=""),IFERROR(INDEX(Investment!$H:$H,MATCH($E808,Investment!$F:$F,0))),IFERROR(INDEX($R809:$R1119,MATCH(SUBSTITUTE($I808,"-","",1),$K809:$K1119,0)),INDEX($R809:$R1119,MATCH($K808,$K809:$K1119,0)))))</f>
        <v/>
      </c>
      <c r="S808" s="35" t="str">
        <f t="shared" si="2"/>
        <v/>
      </c>
      <c r="T808" s="37" t="str">
        <f t="shared" si="3"/>
        <v/>
      </c>
      <c r="U808" s="38" t="str">
        <f t="shared" si="4"/>
        <v/>
      </c>
      <c r="V808" s="31" t="str">
        <f t="shared" si="5"/>
        <v/>
      </c>
      <c r="W808" s="39" t="str">
        <f>IFERROR(__xludf.DUMMYFUNCTION(" IF(Account!$F808&lt;&gt;"""", SPLIT(Account!$F808, "" ""), """")"),"")</f>
        <v/>
      </c>
      <c r="X808" s="40"/>
      <c r="Y808" s="40"/>
      <c r="Z808" s="40"/>
      <c r="AA808" s="40"/>
      <c r="AB808" s="40"/>
      <c r="AC808" s="40"/>
      <c r="AD808" s="40"/>
      <c r="AE808" s="40"/>
      <c r="AF808" s="40"/>
      <c r="AG808" s="40"/>
      <c r="AH808" s="40"/>
      <c r="AI808" s="40"/>
      <c r="AJ808" s="40"/>
      <c r="AK808" s="40"/>
    </row>
    <row r="809">
      <c r="A809" s="300"/>
      <c r="B809" s="300"/>
      <c r="C809" s="300"/>
      <c r="D809" s="300"/>
      <c r="E809" s="300"/>
      <c r="F809" s="329"/>
      <c r="G809" s="300"/>
      <c r="H809" s="300"/>
      <c r="I809" s="300"/>
      <c r="J809" s="300"/>
      <c r="K809" s="300"/>
      <c r="L809" s="329"/>
      <c r="M809" s="29" t="str">
        <f t="shared" si="1"/>
        <v/>
      </c>
      <c r="N809" s="31" t="str">
        <f>IFERROR(__xludf.DUMMYFUNCTION("IF(Account!$F809&lt;&gt;"""", VALUE(REGEXREPLACE($I809, ""\,"", ""."")), """")"),"")</f>
        <v/>
      </c>
      <c r="O809" s="33" t="str">
        <f>IF(Account!$F809&lt;&gt;"", DATEVALUE(MID($A809,4,3) &amp; LEFT($A809,3) &amp; RIGHT($A809,4)) + TIMEVALUE($B809), "")</f>
        <v/>
      </c>
      <c r="P809" s="34" t="str">
        <f>IF(Account!$F809&lt;&gt;"", DATEVALUE(MID($C809,4,3) &amp; LEFT($C809,3) &amp; RIGHT($C809,4)), "")</f>
        <v/>
      </c>
      <c r="Q809" s="35" t="str">
        <f t="array" ref="Q809">IF($R809&lt;&gt;"",IFERROR(INDEX(Investment!$A:$A,MATCH($R809,Investment!$H:$H,0))),)</f>
        <v/>
      </c>
      <c r="R809" s="36" t="str">
        <f t="array" ref="R809">IF(AND($Y809="change",$H809="EUR"),IF(AND($AA809="Crédit",$O809=$O810),$R810,IF(AND($AA809="Débit",$O809=$O808),$R808)),IF(OR(AND(OR($E809&lt;&gt;"",$M809=""),$N809&lt;&gt;0),$A809=""),IFERROR(INDEX(Investment!$H:$H,MATCH($E809,Investment!$F:$F,0))),IFERROR(INDEX($R810:$R1119,MATCH(SUBSTITUTE($I809,"-","",1),$K810:$K1119,0)),INDEX($R810:$R1119,MATCH($K809,$K810:$K1119,0)))))</f>
        <v/>
      </c>
      <c r="S809" s="35" t="str">
        <f t="shared" si="2"/>
        <v/>
      </c>
      <c r="T809" s="37" t="str">
        <f t="shared" si="3"/>
        <v/>
      </c>
      <c r="U809" s="38" t="str">
        <f t="shared" si="4"/>
        <v/>
      </c>
      <c r="V809" s="31" t="str">
        <f t="shared" si="5"/>
        <v/>
      </c>
      <c r="W809" s="39" t="str">
        <f>IFERROR(__xludf.DUMMYFUNCTION(" IF(Account!$F809&lt;&gt;"""", SPLIT(Account!$F809, "" ""), """")"),"")</f>
        <v/>
      </c>
      <c r="X809" s="40"/>
      <c r="Y809" s="40"/>
      <c r="Z809" s="40"/>
      <c r="AA809" s="40"/>
      <c r="AB809" s="40"/>
      <c r="AC809" s="40"/>
      <c r="AD809" s="40"/>
      <c r="AE809" s="40"/>
      <c r="AF809" s="40"/>
      <c r="AG809" s="40"/>
      <c r="AH809" s="40"/>
      <c r="AI809" s="40"/>
      <c r="AJ809" s="40"/>
      <c r="AK809" s="40"/>
    </row>
    <row r="810">
      <c r="A810" s="300"/>
      <c r="B810" s="300"/>
      <c r="C810" s="300"/>
      <c r="D810" s="300"/>
      <c r="E810" s="300"/>
      <c r="F810" s="329"/>
      <c r="G810" s="300"/>
      <c r="H810" s="300"/>
      <c r="I810" s="300"/>
      <c r="J810" s="300"/>
      <c r="K810" s="300"/>
      <c r="L810" s="329"/>
      <c r="M810" s="29" t="str">
        <f t="shared" si="1"/>
        <v/>
      </c>
      <c r="N810" s="31" t="str">
        <f>IFERROR(__xludf.DUMMYFUNCTION("IF(Account!$F810&lt;&gt;"""", VALUE(REGEXREPLACE($I810, ""\,"", ""."")), """")"),"")</f>
        <v/>
      </c>
      <c r="O810" s="33" t="str">
        <f>IF(Account!$F810&lt;&gt;"", DATEVALUE(MID($A810,4,3) &amp; LEFT($A810,3) &amp; RIGHT($A810,4)) + TIMEVALUE($B810), "")</f>
        <v/>
      </c>
      <c r="P810" s="34" t="str">
        <f>IF(Account!$F810&lt;&gt;"", DATEVALUE(MID($C810,4,3) &amp; LEFT($C810,3) &amp; RIGHT($C810,4)), "")</f>
        <v/>
      </c>
      <c r="Q810" s="35" t="str">
        <f t="array" ref="Q810">IF($R810&lt;&gt;"",IFERROR(INDEX(Investment!$A:$A,MATCH($R810,Investment!$H:$H,0))),)</f>
        <v/>
      </c>
      <c r="R810" s="36" t="str">
        <f t="array" ref="R810">IF(AND($Y810="change",$H810="EUR"),IF(AND($AA810="Crédit",$O810=$O811),$R811,IF(AND($AA810="Débit",$O810=$O809),$R809)),IF(OR(AND(OR($E810&lt;&gt;"",$M810=""),$N810&lt;&gt;0),$A810=""),IFERROR(INDEX(Investment!$H:$H,MATCH($E810,Investment!$F:$F,0))),IFERROR(INDEX($R811:$R1119,MATCH(SUBSTITUTE($I810,"-","",1),$K811:$K1119,0)),INDEX($R811:$R1119,MATCH($K810,$K811:$K1119,0)))))</f>
        <v/>
      </c>
      <c r="S810" s="35" t="str">
        <f t="shared" si="2"/>
        <v/>
      </c>
      <c r="T810" s="37" t="str">
        <f t="shared" si="3"/>
        <v/>
      </c>
      <c r="U810" s="38" t="str">
        <f t="shared" si="4"/>
        <v/>
      </c>
      <c r="V810" s="31" t="str">
        <f t="shared" si="5"/>
        <v/>
      </c>
      <c r="W810" s="39" t="str">
        <f>IFERROR(__xludf.DUMMYFUNCTION(" IF(Account!$F810&lt;&gt;"""", SPLIT(Account!$F810, "" ""), """")"),"")</f>
        <v/>
      </c>
      <c r="X810" s="40"/>
      <c r="Y810" s="40"/>
      <c r="Z810" s="40"/>
      <c r="AA810" s="40"/>
      <c r="AB810" s="40"/>
      <c r="AC810" s="40"/>
      <c r="AD810" s="40"/>
      <c r="AE810" s="40"/>
      <c r="AF810" s="40"/>
      <c r="AG810" s="40"/>
      <c r="AH810" s="40"/>
      <c r="AI810" s="40"/>
      <c r="AJ810" s="40"/>
      <c r="AK810" s="40"/>
    </row>
    <row r="811">
      <c r="A811" s="300"/>
      <c r="B811" s="300"/>
      <c r="C811" s="300"/>
      <c r="D811" s="300"/>
      <c r="E811" s="300"/>
      <c r="F811" s="329"/>
      <c r="G811" s="300"/>
      <c r="H811" s="300"/>
      <c r="I811" s="300"/>
      <c r="J811" s="300"/>
      <c r="K811" s="300"/>
      <c r="L811" s="329"/>
      <c r="M811" s="29" t="str">
        <f t="shared" si="1"/>
        <v/>
      </c>
      <c r="N811" s="31" t="str">
        <f>IFERROR(__xludf.DUMMYFUNCTION("IF(Account!$F811&lt;&gt;"""", VALUE(REGEXREPLACE($I811, ""\,"", ""."")), """")"),"")</f>
        <v/>
      </c>
      <c r="O811" s="33" t="str">
        <f>IF(Account!$F811&lt;&gt;"", DATEVALUE(MID($A811,4,3) &amp; LEFT($A811,3) &amp; RIGHT($A811,4)) + TIMEVALUE($B811), "")</f>
        <v/>
      </c>
      <c r="P811" s="34" t="str">
        <f>IF(Account!$F811&lt;&gt;"", DATEVALUE(MID($C811,4,3) &amp; LEFT($C811,3) &amp; RIGHT($C811,4)), "")</f>
        <v/>
      </c>
      <c r="Q811" s="35" t="str">
        <f t="array" ref="Q811">IF($R811&lt;&gt;"",IFERROR(INDEX(Investment!$A:$A,MATCH($R811,Investment!$H:$H,0))),)</f>
        <v/>
      </c>
      <c r="R811" s="36" t="str">
        <f t="array" ref="R811">IF(AND($Y811="change",$H811="EUR"),IF(AND($AA811="Crédit",$O811=$O812),$R812,IF(AND($AA811="Débit",$O811=$O810),$R810)),IF(OR(AND(OR($E811&lt;&gt;"",$M811=""),$N811&lt;&gt;0),$A811=""),IFERROR(INDEX(Investment!$H:$H,MATCH($E811,Investment!$F:$F,0))),IFERROR(INDEX($R812:$R1119,MATCH(SUBSTITUTE($I811,"-","",1),$K812:$K1119,0)),INDEX($R812:$R1119,MATCH($K811,$K812:$K1119,0)))))</f>
        <v/>
      </c>
      <c r="S811" s="35" t="str">
        <f t="shared" si="2"/>
        <v/>
      </c>
      <c r="T811" s="37" t="str">
        <f t="shared" si="3"/>
        <v/>
      </c>
      <c r="U811" s="38" t="str">
        <f t="shared" si="4"/>
        <v/>
      </c>
      <c r="V811" s="31" t="str">
        <f t="shared" si="5"/>
        <v/>
      </c>
      <c r="W811" s="39" t="str">
        <f>IFERROR(__xludf.DUMMYFUNCTION(" IF(Account!$F811&lt;&gt;"""", SPLIT(Account!$F811, "" ""), """")"),"")</f>
        <v/>
      </c>
      <c r="X811" s="40"/>
      <c r="Y811" s="40"/>
      <c r="Z811" s="40"/>
      <c r="AA811" s="40"/>
      <c r="AB811" s="40"/>
      <c r="AC811" s="40"/>
      <c r="AD811" s="40"/>
      <c r="AE811" s="40"/>
      <c r="AF811" s="40"/>
      <c r="AG811" s="40"/>
      <c r="AH811" s="40"/>
      <c r="AI811" s="40"/>
      <c r="AJ811" s="40"/>
      <c r="AK811" s="40"/>
    </row>
    <row r="812">
      <c r="A812" s="300"/>
      <c r="B812" s="300"/>
      <c r="C812" s="300"/>
      <c r="D812" s="300"/>
      <c r="E812" s="300"/>
      <c r="F812" s="329"/>
      <c r="G812" s="300"/>
      <c r="H812" s="300"/>
      <c r="I812" s="300"/>
      <c r="J812" s="300"/>
      <c r="K812" s="300"/>
      <c r="L812" s="329"/>
      <c r="M812" s="29" t="str">
        <f t="shared" si="1"/>
        <v/>
      </c>
      <c r="N812" s="31" t="str">
        <f>IFERROR(__xludf.DUMMYFUNCTION("IF(Account!$F812&lt;&gt;"""", VALUE(REGEXREPLACE($I812, ""\,"", ""."")), """")"),"")</f>
        <v/>
      </c>
      <c r="O812" s="33" t="str">
        <f>IF(Account!$F812&lt;&gt;"", DATEVALUE(MID($A812,4,3) &amp; LEFT($A812,3) &amp; RIGHT($A812,4)) + TIMEVALUE($B812), "")</f>
        <v/>
      </c>
      <c r="P812" s="34" t="str">
        <f>IF(Account!$F812&lt;&gt;"", DATEVALUE(MID($C812,4,3) &amp; LEFT($C812,3) &amp; RIGHT($C812,4)), "")</f>
        <v/>
      </c>
      <c r="Q812" s="35" t="str">
        <f t="array" ref="Q812">IF($R812&lt;&gt;"",IFERROR(INDEX(Investment!$A:$A,MATCH($R812,Investment!$H:$H,0))),)</f>
        <v/>
      </c>
      <c r="R812" s="36" t="str">
        <f t="array" ref="R812">IF(AND($Y812="change",$H812="EUR"),IF(AND($AA812="Crédit",$O812=$O813),$R813,IF(AND($AA812="Débit",$O812=$O811),$R811)),IF(OR(AND(OR($E812&lt;&gt;"",$M812=""),$N812&lt;&gt;0),$A812=""),IFERROR(INDEX(Investment!$H:$H,MATCH($E812,Investment!$F:$F,0))),IFERROR(INDEX($R813:$R1119,MATCH(SUBSTITUTE($I812,"-","",1),$K813:$K1119,0)),INDEX($R813:$R1119,MATCH($K812,$K813:$K1119,0)))))</f>
        <v/>
      </c>
      <c r="S812" s="35" t="str">
        <f t="shared" si="2"/>
        <v/>
      </c>
      <c r="T812" s="37" t="str">
        <f t="shared" si="3"/>
        <v/>
      </c>
      <c r="U812" s="38" t="str">
        <f t="shared" si="4"/>
        <v/>
      </c>
      <c r="V812" s="31" t="str">
        <f t="shared" si="5"/>
        <v/>
      </c>
      <c r="W812" s="39" t="str">
        <f>IFERROR(__xludf.DUMMYFUNCTION(" IF(Account!$F812&lt;&gt;"""", SPLIT(Account!$F812, "" ""), """")"),"")</f>
        <v/>
      </c>
      <c r="X812" s="40"/>
      <c r="Y812" s="40"/>
      <c r="Z812" s="40"/>
      <c r="AA812" s="40"/>
      <c r="AB812" s="40"/>
      <c r="AC812" s="40"/>
      <c r="AD812" s="40"/>
      <c r="AE812" s="40"/>
      <c r="AF812" s="40"/>
      <c r="AG812" s="40"/>
      <c r="AH812" s="40"/>
      <c r="AI812" s="40"/>
      <c r="AJ812" s="40"/>
      <c r="AK812" s="40"/>
    </row>
    <row r="813">
      <c r="A813" s="300"/>
      <c r="B813" s="300"/>
      <c r="C813" s="300"/>
      <c r="D813" s="300"/>
      <c r="E813" s="300"/>
      <c r="F813" s="329"/>
      <c r="G813" s="300"/>
      <c r="H813" s="300"/>
      <c r="I813" s="300"/>
      <c r="J813" s="300"/>
      <c r="K813" s="300"/>
      <c r="L813" s="329"/>
      <c r="M813" s="29" t="str">
        <f t="shared" si="1"/>
        <v/>
      </c>
      <c r="N813" s="31" t="str">
        <f>IFERROR(__xludf.DUMMYFUNCTION("IF(Account!$F813&lt;&gt;"""", VALUE(REGEXREPLACE($I813, ""\,"", ""."")), """")"),"")</f>
        <v/>
      </c>
      <c r="O813" s="33" t="str">
        <f>IF(Account!$F813&lt;&gt;"", DATEVALUE(MID($A813,4,3) &amp; LEFT($A813,3) &amp; RIGHT($A813,4)) + TIMEVALUE($B813), "")</f>
        <v/>
      </c>
      <c r="P813" s="34" t="str">
        <f>IF(Account!$F813&lt;&gt;"", DATEVALUE(MID($C813,4,3) &amp; LEFT($C813,3) &amp; RIGHT($C813,4)), "")</f>
        <v/>
      </c>
      <c r="Q813" s="35" t="str">
        <f t="array" ref="Q813">IF($R813&lt;&gt;"",IFERROR(INDEX(Investment!$A:$A,MATCH($R813,Investment!$H:$H,0))),)</f>
        <v/>
      </c>
      <c r="R813" s="36" t="str">
        <f t="array" ref="R813">IF(AND($Y813="change",$H813="EUR"),IF(AND($AA813="Crédit",$O813=$O814),$R814,IF(AND($AA813="Débit",$O813=$O812),$R812)),IF(OR(AND(OR($E813&lt;&gt;"",$M813=""),$N813&lt;&gt;0),$A813=""),IFERROR(INDEX(Investment!$H:$H,MATCH($E813,Investment!$F:$F,0))),IFERROR(INDEX($R814:$R1119,MATCH(SUBSTITUTE($I813,"-","",1),$K814:$K1119,0)),INDEX($R814:$R1119,MATCH($K813,$K814:$K1119,0)))))</f>
        <v/>
      </c>
      <c r="S813" s="35" t="str">
        <f t="shared" si="2"/>
        <v/>
      </c>
      <c r="T813" s="37" t="str">
        <f t="shared" si="3"/>
        <v/>
      </c>
      <c r="U813" s="38" t="str">
        <f t="shared" si="4"/>
        <v/>
      </c>
      <c r="V813" s="31" t="str">
        <f t="shared" si="5"/>
        <v/>
      </c>
      <c r="W813" s="39" t="str">
        <f>IFERROR(__xludf.DUMMYFUNCTION(" IF(Account!$F813&lt;&gt;"""", SPLIT(Account!$F813, "" ""), """")"),"")</f>
        <v/>
      </c>
      <c r="X813" s="40"/>
      <c r="Y813" s="40"/>
      <c r="Z813" s="40"/>
      <c r="AA813" s="40"/>
      <c r="AB813" s="40"/>
      <c r="AC813" s="40"/>
      <c r="AD813" s="40"/>
      <c r="AE813" s="40"/>
      <c r="AF813" s="40"/>
      <c r="AG813" s="40"/>
      <c r="AH813" s="40"/>
      <c r="AI813" s="40"/>
      <c r="AJ813" s="40"/>
      <c r="AK813" s="40"/>
    </row>
    <row r="814">
      <c r="A814" s="300"/>
      <c r="B814" s="300"/>
      <c r="C814" s="300"/>
      <c r="D814" s="300"/>
      <c r="E814" s="300"/>
      <c r="F814" s="329"/>
      <c r="G814" s="300"/>
      <c r="H814" s="300"/>
      <c r="I814" s="300"/>
      <c r="J814" s="300"/>
      <c r="K814" s="300"/>
      <c r="L814" s="329"/>
      <c r="M814" s="29" t="str">
        <f t="shared" si="1"/>
        <v/>
      </c>
      <c r="N814" s="31" t="str">
        <f>IFERROR(__xludf.DUMMYFUNCTION("IF(Account!$F814&lt;&gt;"""", VALUE(REGEXREPLACE($I814, ""\,"", ""."")), """")"),"")</f>
        <v/>
      </c>
      <c r="O814" s="33" t="str">
        <f>IF(Account!$F814&lt;&gt;"", DATEVALUE(MID($A814,4,3) &amp; LEFT($A814,3) &amp; RIGHT($A814,4)) + TIMEVALUE($B814), "")</f>
        <v/>
      </c>
      <c r="P814" s="34" t="str">
        <f>IF(Account!$F814&lt;&gt;"", DATEVALUE(MID($C814,4,3) &amp; LEFT($C814,3) &amp; RIGHT($C814,4)), "")</f>
        <v/>
      </c>
      <c r="Q814" s="35" t="str">
        <f t="array" ref="Q814">IF($R814&lt;&gt;"",IFERROR(INDEX(Investment!$A:$A,MATCH($R814,Investment!$H:$H,0))),)</f>
        <v/>
      </c>
      <c r="R814" s="36" t="str">
        <f t="array" ref="R814">IF(AND($Y814="change",$H814="EUR"),IF(AND($AA814="Crédit",$O814=$O815),$R815,IF(AND($AA814="Débit",$O814=$O813),$R813)),IF(OR(AND(OR($E814&lt;&gt;"",$M814=""),$N814&lt;&gt;0),$A814=""),IFERROR(INDEX(Investment!$H:$H,MATCH($E814,Investment!$F:$F,0))),IFERROR(INDEX($R815:$R1119,MATCH(SUBSTITUTE($I814,"-","",1),$K815:$K1119,0)),INDEX($R815:$R1119,MATCH($K814,$K815:$K1119,0)))))</f>
        <v/>
      </c>
      <c r="S814" s="35" t="str">
        <f t="shared" si="2"/>
        <v/>
      </c>
      <c r="T814" s="37" t="str">
        <f t="shared" si="3"/>
        <v/>
      </c>
      <c r="U814" s="38" t="str">
        <f t="shared" si="4"/>
        <v/>
      </c>
      <c r="V814" s="31" t="str">
        <f t="shared" si="5"/>
        <v/>
      </c>
      <c r="W814" s="39" t="str">
        <f>IFERROR(__xludf.DUMMYFUNCTION(" IF(Account!$F814&lt;&gt;"""", SPLIT(Account!$F814, "" ""), """")"),"")</f>
        <v/>
      </c>
      <c r="X814" s="40"/>
      <c r="Y814" s="40"/>
      <c r="Z814" s="40"/>
      <c r="AA814" s="40"/>
      <c r="AB814" s="40"/>
      <c r="AC814" s="40"/>
      <c r="AD814" s="40"/>
      <c r="AE814" s="40"/>
      <c r="AF814" s="40"/>
      <c r="AG814" s="40"/>
      <c r="AH814" s="40"/>
      <c r="AI814" s="40"/>
      <c r="AJ814" s="40"/>
      <c r="AK814" s="40"/>
    </row>
    <row r="815">
      <c r="A815" s="300"/>
      <c r="B815" s="300"/>
      <c r="C815" s="300"/>
      <c r="D815" s="300"/>
      <c r="E815" s="300"/>
      <c r="F815" s="329"/>
      <c r="G815" s="300"/>
      <c r="H815" s="300"/>
      <c r="I815" s="300"/>
      <c r="J815" s="300"/>
      <c r="K815" s="300"/>
      <c r="L815" s="329"/>
      <c r="M815" s="29" t="str">
        <f t="shared" si="1"/>
        <v/>
      </c>
      <c r="N815" s="31" t="str">
        <f>IFERROR(__xludf.DUMMYFUNCTION("IF(Account!$F815&lt;&gt;"""", VALUE(REGEXREPLACE($I815, ""\,"", ""."")), """")"),"")</f>
        <v/>
      </c>
      <c r="O815" s="33" t="str">
        <f>IF(Account!$F815&lt;&gt;"", DATEVALUE(MID($A815,4,3) &amp; LEFT($A815,3) &amp; RIGHT($A815,4)) + TIMEVALUE($B815), "")</f>
        <v/>
      </c>
      <c r="P815" s="34" t="str">
        <f>IF(Account!$F815&lt;&gt;"", DATEVALUE(MID($C815,4,3) &amp; LEFT($C815,3) &amp; RIGHT($C815,4)), "")</f>
        <v/>
      </c>
      <c r="Q815" s="35" t="str">
        <f t="array" ref="Q815">IF($R815&lt;&gt;"",IFERROR(INDEX(Investment!$A:$A,MATCH($R815,Investment!$H:$H,0))),)</f>
        <v/>
      </c>
      <c r="R815" s="36" t="str">
        <f t="array" ref="R815">IF(AND($Y815="change",$H815="EUR"),IF(AND($AA815="Crédit",$O815=$O816),$R816,IF(AND($AA815="Débit",$O815=$O814),$R814)),IF(OR(AND(OR($E815&lt;&gt;"",$M815=""),$N815&lt;&gt;0),$A815=""),IFERROR(INDEX(Investment!$H:$H,MATCH($E815,Investment!$F:$F,0))),IFERROR(INDEX($R816:$R1119,MATCH(SUBSTITUTE($I815,"-","",1),$K816:$K1119,0)),INDEX($R816:$R1119,MATCH($K815,$K816:$K1119,0)))))</f>
        <v/>
      </c>
      <c r="S815" s="35" t="str">
        <f t="shared" si="2"/>
        <v/>
      </c>
      <c r="T815" s="37" t="str">
        <f t="shared" si="3"/>
        <v/>
      </c>
      <c r="U815" s="38" t="str">
        <f t="shared" si="4"/>
        <v/>
      </c>
      <c r="V815" s="31" t="str">
        <f t="shared" si="5"/>
        <v/>
      </c>
      <c r="W815" s="39" t="str">
        <f>IFERROR(__xludf.DUMMYFUNCTION(" IF(Account!$F815&lt;&gt;"""", SPLIT(Account!$F815, "" ""), """")"),"")</f>
        <v/>
      </c>
      <c r="X815" s="40"/>
      <c r="Y815" s="40"/>
      <c r="Z815" s="40"/>
      <c r="AA815" s="40"/>
      <c r="AB815" s="40"/>
      <c r="AC815" s="40"/>
      <c r="AD815" s="40"/>
      <c r="AE815" s="40"/>
      <c r="AF815" s="40"/>
      <c r="AG815" s="40"/>
      <c r="AH815" s="40"/>
      <c r="AI815" s="40"/>
      <c r="AJ815" s="40"/>
      <c r="AK815" s="40"/>
    </row>
    <row r="816">
      <c r="A816" s="300"/>
      <c r="B816" s="300"/>
      <c r="C816" s="300"/>
      <c r="D816" s="300"/>
      <c r="E816" s="300"/>
      <c r="F816" s="329"/>
      <c r="G816" s="300"/>
      <c r="H816" s="300"/>
      <c r="I816" s="300"/>
      <c r="J816" s="300"/>
      <c r="K816" s="300"/>
      <c r="L816" s="329"/>
      <c r="M816" s="29" t="str">
        <f t="shared" si="1"/>
        <v/>
      </c>
      <c r="N816" s="31" t="str">
        <f>IFERROR(__xludf.DUMMYFUNCTION("IF(Account!$F816&lt;&gt;"""", VALUE(REGEXREPLACE($I816, ""\,"", ""."")), """")"),"")</f>
        <v/>
      </c>
      <c r="O816" s="33" t="str">
        <f>IF(Account!$F816&lt;&gt;"", DATEVALUE(MID($A816,4,3) &amp; LEFT($A816,3) &amp; RIGHT($A816,4)) + TIMEVALUE($B816), "")</f>
        <v/>
      </c>
      <c r="P816" s="34" t="str">
        <f>IF(Account!$F816&lt;&gt;"", DATEVALUE(MID($C816,4,3) &amp; LEFT($C816,3) &amp; RIGHT($C816,4)), "")</f>
        <v/>
      </c>
      <c r="Q816" s="35" t="str">
        <f t="array" ref="Q816">IF($R816&lt;&gt;"",IFERROR(INDEX(Investment!$A:$A,MATCH($R816,Investment!$H:$H,0))),)</f>
        <v/>
      </c>
      <c r="R816" s="36" t="str">
        <f t="array" ref="R816">IF(AND($Y816="change",$H816="EUR"),IF(AND($AA816="Crédit",$O816=$O817),$R817,IF(AND($AA816="Débit",$O816=$O815),$R815)),IF(OR(AND(OR($E816&lt;&gt;"",$M816=""),$N816&lt;&gt;0),$A816=""),IFERROR(INDEX(Investment!$H:$H,MATCH($E816,Investment!$F:$F,0))),IFERROR(INDEX($R817:$R1119,MATCH(SUBSTITUTE($I816,"-","",1),$K817:$K1119,0)),INDEX($R817:$R1119,MATCH($K816,$K817:$K1119,0)))))</f>
        <v/>
      </c>
      <c r="S816" s="35" t="str">
        <f t="shared" si="2"/>
        <v/>
      </c>
      <c r="T816" s="37" t="str">
        <f t="shared" si="3"/>
        <v/>
      </c>
      <c r="U816" s="38" t="str">
        <f t="shared" si="4"/>
        <v/>
      </c>
      <c r="V816" s="31" t="str">
        <f t="shared" si="5"/>
        <v/>
      </c>
      <c r="W816" s="39" t="str">
        <f>IFERROR(__xludf.DUMMYFUNCTION(" IF(Account!$F816&lt;&gt;"""", SPLIT(Account!$F816, "" ""), """")"),"")</f>
        <v/>
      </c>
      <c r="X816" s="40"/>
      <c r="Y816" s="40"/>
      <c r="Z816" s="40"/>
      <c r="AA816" s="40"/>
      <c r="AB816" s="40"/>
      <c r="AC816" s="40"/>
      <c r="AD816" s="40"/>
      <c r="AE816" s="40"/>
      <c r="AF816" s="40"/>
      <c r="AG816" s="40"/>
      <c r="AH816" s="40"/>
      <c r="AI816" s="40"/>
      <c r="AJ816" s="40"/>
      <c r="AK816" s="40"/>
    </row>
    <row r="817">
      <c r="A817" s="300"/>
      <c r="B817" s="300"/>
      <c r="C817" s="300"/>
      <c r="D817" s="300"/>
      <c r="E817" s="300"/>
      <c r="F817" s="329"/>
      <c r="G817" s="300"/>
      <c r="H817" s="300"/>
      <c r="I817" s="300"/>
      <c r="J817" s="300"/>
      <c r="K817" s="300"/>
      <c r="L817" s="329"/>
      <c r="M817" s="29" t="str">
        <f t="shared" si="1"/>
        <v/>
      </c>
      <c r="N817" s="31" t="str">
        <f>IFERROR(__xludf.DUMMYFUNCTION("IF(Account!$F817&lt;&gt;"""", VALUE(REGEXREPLACE($I817, ""\,"", ""."")), """")"),"")</f>
        <v/>
      </c>
      <c r="O817" s="33" t="str">
        <f>IF(Account!$F817&lt;&gt;"", DATEVALUE(MID($A817,4,3) &amp; LEFT($A817,3) &amp; RIGHT($A817,4)) + TIMEVALUE($B817), "")</f>
        <v/>
      </c>
      <c r="P817" s="34" t="str">
        <f>IF(Account!$F817&lt;&gt;"", DATEVALUE(MID($C817,4,3) &amp; LEFT($C817,3) &amp; RIGHT($C817,4)), "")</f>
        <v/>
      </c>
      <c r="Q817" s="35" t="str">
        <f t="array" ref="Q817">IF($R817&lt;&gt;"",IFERROR(INDEX(Investment!$A:$A,MATCH($R817,Investment!$H:$H,0))),)</f>
        <v/>
      </c>
      <c r="R817" s="36" t="str">
        <f t="array" ref="R817">IF(AND($Y817="change",$H817="EUR"),IF(AND($AA817="Crédit",$O817=$O818),$R818,IF(AND($AA817="Débit",$O817=$O816),$R816)),IF(OR(AND(OR($E817&lt;&gt;"",$M817=""),$N817&lt;&gt;0),$A817=""),IFERROR(INDEX(Investment!$H:$H,MATCH($E817,Investment!$F:$F,0))),IFERROR(INDEX($R818:$R1119,MATCH(SUBSTITUTE($I817,"-","",1),$K818:$K1119,0)),INDEX($R818:$R1119,MATCH($K817,$K818:$K1119,0)))))</f>
        <v/>
      </c>
      <c r="S817" s="35" t="str">
        <f t="shared" si="2"/>
        <v/>
      </c>
      <c r="T817" s="37" t="str">
        <f t="shared" si="3"/>
        <v/>
      </c>
      <c r="U817" s="38" t="str">
        <f t="shared" si="4"/>
        <v/>
      </c>
      <c r="V817" s="31" t="str">
        <f t="shared" si="5"/>
        <v/>
      </c>
      <c r="W817" s="39" t="str">
        <f>IFERROR(__xludf.DUMMYFUNCTION(" IF(Account!$F817&lt;&gt;"""", SPLIT(Account!$F817, "" ""), """")"),"")</f>
        <v/>
      </c>
      <c r="X817" s="40"/>
      <c r="Y817" s="40"/>
      <c r="Z817" s="40"/>
      <c r="AA817" s="40"/>
      <c r="AB817" s="40"/>
      <c r="AC817" s="40"/>
      <c r="AD817" s="40"/>
      <c r="AE817" s="40"/>
      <c r="AF817" s="40"/>
      <c r="AG817" s="40"/>
      <c r="AH817" s="40"/>
      <c r="AI817" s="40"/>
      <c r="AJ817" s="40"/>
      <c r="AK817" s="40"/>
    </row>
    <row r="818">
      <c r="A818" s="300"/>
      <c r="B818" s="300"/>
      <c r="C818" s="300"/>
      <c r="D818" s="300"/>
      <c r="E818" s="300"/>
      <c r="F818" s="329"/>
      <c r="G818" s="300"/>
      <c r="H818" s="300"/>
      <c r="I818" s="300"/>
      <c r="J818" s="300"/>
      <c r="K818" s="300"/>
      <c r="L818" s="329"/>
      <c r="M818" s="29" t="str">
        <f t="shared" si="1"/>
        <v/>
      </c>
      <c r="N818" s="31" t="str">
        <f>IFERROR(__xludf.DUMMYFUNCTION("IF(Account!$F818&lt;&gt;"""", VALUE(REGEXREPLACE($I818, ""\,"", ""."")), """")"),"")</f>
        <v/>
      </c>
      <c r="O818" s="33" t="str">
        <f>IF(Account!$F818&lt;&gt;"", DATEVALUE(MID($A818,4,3) &amp; LEFT($A818,3) &amp; RIGHT($A818,4)) + TIMEVALUE($B818), "")</f>
        <v/>
      </c>
      <c r="P818" s="34" t="str">
        <f>IF(Account!$F818&lt;&gt;"", DATEVALUE(MID($C818,4,3) &amp; LEFT($C818,3) &amp; RIGHT($C818,4)), "")</f>
        <v/>
      </c>
      <c r="Q818" s="35" t="str">
        <f t="array" ref="Q818">IF($R818&lt;&gt;"",IFERROR(INDEX(Investment!$A:$A,MATCH($R818,Investment!$H:$H,0))),)</f>
        <v/>
      </c>
      <c r="R818" s="36" t="str">
        <f t="array" ref="R818">IF(AND($Y818="change",$H818="EUR"),IF(AND($AA818="Crédit",$O818=$O819),$R819,IF(AND($AA818="Débit",$O818=$O817),$R817)),IF(OR(AND(OR($E818&lt;&gt;"",$M818=""),$N818&lt;&gt;0),$A818=""),IFERROR(INDEX(Investment!$H:$H,MATCH($E818,Investment!$F:$F,0))),IFERROR(INDEX($R819:$R1119,MATCH(SUBSTITUTE($I818,"-","",1),$K819:$K1119,0)),INDEX($R819:$R1119,MATCH($K818,$K819:$K1119,0)))))</f>
        <v/>
      </c>
      <c r="S818" s="35" t="str">
        <f t="shared" si="2"/>
        <v/>
      </c>
      <c r="T818" s="37" t="str">
        <f t="shared" si="3"/>
        <v/>
      </c>
      <c r="U818" s="38" t="str">
        <f t="shared" si="4"/>
        <v/>
      </c>
      <c r="V818" s="31" t="str">
        <f t="shared" si="5"/>
        <v/>
      </c>
      <c r="W818" s="39" t="str">
        <f>IFERROR(__xludf.DUMMYFUNCTION(" IF(Account!$F818&lt;&gt;"""", SPLIT(Account!$F818, "" ""), """")"),"")</f>
        <v/>
      </c>
      <c r="X818" s="40"/>
      <c r="Y818" s="40"/>
      <c r="Z818" s="40"/>
      <c r="AA818" s="40"/>
      <c r="AB818" s="40"/>
      <c r="AC818" s="40"/>
      <c r="AD818" s="40"/>
      <c r="AE818" s="40"/>
      <c r="AF818" s="40"/>
      <c r="AG818" s="40"/>
      <c r="AH818" s="40"/>
      <c r="AI818" s="40"/>
      <c r="AJ818" s="40"/>
      <c r="AK818" s="40"/>
    </row>
    <row r="819">
      <c r="A819" s="300"/>
      <c r="B819" s="300"/>
      <c r="C819" s="300"/>
      <c r="D819" s="300"/>
      <c r="E819" s="300"/>
      <c r="F819" s="329"/>
      <c r="G819" s="300"/>
      <c r="H819" s="300"/>
      <c r="I819" s="300"/>
      <c r="J819" s="300"/>
      <c r="K819" s="300"/>
      <c r="L819" s="329"/>
      <c r="M819" s="29" t="str">
        <f t="shared" si="1"/>
        <v/>
      </c>
      <c r="N819" s="31" t="str">
        <f>IFERROR(__xludf.DUMMYFUNCTION("IF(Account!$F819&lt;&gt;"""", VALUE(REGEXREPLACE($I819, ""\,"", ""."")), """")"),"")</f>
        <v/>
      </c>
      <c r="O819" s="33" t="str">
        <f>IF(Account!$F819&lt;&gt;"", DATEVALUE(MID($A819,4,3) &amp; LEFT($A819,3) &amp; RIGHT($A819,4)) + TIMEVALUE($B819), "")</f>
        <v/>
      </c>
      <c r="P819" s="34" t="str">
        <f>IF(Account!$F819&lt;&gt;"", DATEVALUE(MID($C819,4,3) &amp; LEFT($C819,3) &amp; RIGHT($C819,4)), "")</f>
        <v/>
      </c>
      <c r="Q819" s="35" t="str">
        <f t="array" ref="Q819">IF($R819&lt;&gt;"",IFERROR(INDEX(Investment!$A:$A,MATCH($R819,Investment!$H:$H,0))),)</f>
        <v/>
      </c>
      <c r="R819" s="36" t="str">
        <f t="array" ref="R819">IF(AND($Y819="change",$H819="EUR"),IF(AND($AA819="Crédit",$O819=$O820),$R820,IF(AND($AA819="Débit",$O819=$O818),$R818)),IF(OR(AND(OR($E819&lt;&gt;"",$M819=""),$N819&lt;&gt;0),$A819=""),IFERROR(INDEX(Investment!$H:$H,MATCH($E819,Investment!$F:$F,0))),IFERROR(INDEX($R820:$R1119,MATCH(SUBSTITUTE($I819,"-","",1),$K820:$K1119,0)),INDEX($R820:$R1119,MATCH($K819,$K820:$K1119,0)))))</f>
        <v/>
      </c>
      <c r="S819" s="35" t="str">
        <f t="shared" si="2"/>
        <v/>
      </c>
      <c r="T819" s="37" t="str">
        <f t="shared" si="3"/>
        <v/>
      </c>
      <c r="U819" s="38" t="str">
        <f t="shared" si="4"/>
        <v/>
      </c>
      <c r="V819" s="31" t="str">
        <f t="shared" si="5"/>
        <v/>
      </c>
      <c r="W819" s="39" t="str">
        <f>IFERROR(__xludf.DUMMYFUNCTION(" IF(Account!$F819&lt;&gt;"""", SPLIT(Account!$F819, "" ""), """")"),"")</f>
        <v/>
      </c>
      <c r="X819" s="40"/>
      <c r="Y819" s="40"/>
      <c r="Z819" s="40"/>
      <c r="AA819" s="40"/>
      <c r="AB819" s="40"/>
      <c r="AC819" s="40"/>
      <c r="AD819" s="40"/>
      <c r="AE819" s="40"/>
      <c r="AF819" s="40"/>
      <c r="AG819" s="40"/>
      <c r="AH819" s="40"/>
      <c r="AI819" s="40"/>
      <c r="AJ819" s="40"/>
      <c r="AK819" s="40"/>
    </row>
    <row r="820">
      <c r="A820" s="300"/>
      <c r="B820" s="300"/>
      <c r="C820" s="300"/>
      <c r="D820" s="300"/>
      <c r="E820" s="300"/>
      <c r="F820" s="329"/>
      <c r="G820" s="300"/>
      <c r="H820" s="300"/>
      <c r="I820" s="300"/>
      <c r="J820" s="300"/>
      <c r="K820" s="300"/>
      <c r="L820" s="329"/>
      <c r="M820" s="29" t="str">
        <f t="shared" si="1"/>
        <v/>
      </c>
      <c r="N820" s="31" t="str">
        <f>IFERROR(__xludf.DUMMYFUNCTION("IF(Account!$F820&lt;&gt;"""", VALUE(REGEXREPLACE($I820, ""\,"", ""."")), """")"),"")</f>
        <v/>
      </c>
      <c r="O820" s="33" t="str">
        <f>IF(Account!$F820&lt;&gt;"", DATEVALUE(MID($A820,4,3) &amp; LEFT($A820,3) &amp; RIGHT($A820,4)) + TIMEVALUE($B820), "")</f>
        <v/>
      </c>
      <c r="P820" s="34" t="str">
        <f>IF(Account!$F820&lt;&gt;"", DATEVALUE(MID($C820,4,3) &amp; LEFT($C820,3) &amp; RIGHT($C820,4)), "")</f>
        <v/>
      </c>
      <c r="Q820" s="35" t="str">
        <f t="array" ref="Q820">IF($R820&lt;&gt;"",IFERROR(INDEX(Investment!$A:$A,MATCH($R820,Investment!$H:$H,0))),)</f>
        <v/>
      </c>
      <c r="R820" s="36" t="str">
        <f t="array" ref="R820">IF(AND($Y820="change",$H820="EUR"),IF(AND($AA820="Crédit",$O820=$O821),$R821,IF(AND($AA820="Débit",$O820=$O819),$R819)),IF(OR(AND(OR($E820&lt;&gt;"",$M820=""),$N820&lt;&gt;0),$A820=""),IFERROR(INDEX(Investment!$H:$H,MATCH($E820,Investment!$F:$F,0))),IFERROR(INDEX($R821:$R1119,MATCH(SUBSTITUTE($I820,"-","",1),$K821:$K1119,0)),INDEX($R821:$R1119,MATCH($K820,$K821:$K1119,0)))))</f>
        <v/>
      </c>
      <c r="S820" s="35" t="str">
        <f t="shared" si="2"/>
        <v/>
      </c>
      <c r="T820" s="37" t="str">
        <f t="shared" si="3"/>
        <v/>
      </c>
      <c r="U820" s="38" t="str">
        <f t="shared" si="4"/>
        <v/>
      </c>
      <c r="V820" s="31" t="str">
        <f t="shared" si="5"/>
        <v/>
      </c>
      <c r="W820" s="39" t="str">
        <f>IFERROR(__xludf.DUMMYFUNCTION(" IF(Account!$F820&lt;&gt;"""", SPLIT(Account!$F820, "" ""), """")"),"")</f>
        <v/>
      </c>
      <c r="X820" s="40"/>
      <c r="Y820" s="40"/>
      <c r="Z820" s="40"/>
      <c r="AA820" s="40"/>
      <c r="AB820" s="40"/>
      <c r="AC820" s="40"/>
      <c r="AD820" s="40"/>
      <c r="AE820" s="40"/>
      <c r="AF820" s="40"/>
      <c r="AG820" s="40"/>
      <c r="AH820" s="40"/>
      <c r="AI820" s="40"/>
      <c r="AJ820" s="40"/>
      <c r="AK820" s="40"/>
    </row>
    <row r="821">
      <c r="A821" s="300"/>
      <c r="B821" s="300"/>
      <c r="C821" s="300"/>
      <c r="D821" s="300"/>
      <c r="E821" s="300"/>
      <c r="F821" s="329"/>
      <c r="G821" s="300"/>
      <c r="H821" s="300"/>
      <c r="I821" s="300"/>
      <c r="J821" s="300"/>
      <c r="K821" s="300"/>
      <c r="L821" s="329"/>
      <c r="M821" s="29" t="str">
        <f t="shared" si="1"/>
        <v/>
      </c>
      <c r="N821" s="31" t="str">
        <f>IFERROR(__xludf.DUMMYFUNCTION("IF(Account!$F821&lt;&gt;"""", VALUE(REGEXREPLACE($I821, ""\,"", ""."")), """")"),"")</f>
        <v/>
      </c>
      <c r="O821" s="33" t="str">
        <f>IF(Account!$F821&lt;&gt;"", DATEVALUE(MID($A821,4,3) &amp; LEFT($A821,3) &amp; RIGHT($A821,4)) + TIMEVALUE($B821), "")</f>
        <v/>
      </c>
      <c r="P821" s="34" t="str">
        <f>IF(Account!$F821&lt;&gt;"", DATEVALUE(MID($C821,4,3) &amp; LEFT($C821,3) &amp; RIGHT($C821,4)), "")</f>
        <v/>
      </c>
      <c r="Q821" s="35" t="str">
        <f t="array" ref="Q821">IF($R821&lt;&gt;"",IFERROR(INDEX(Investment!$A:$A,MATCH($R821,Investment!$H:$H,0))),)</f>
        <v/>
      </c>
      <c r="R821" s="36" t="str">
        <f t="array" ref="R821">IF(AND($Y821="change",$H821="EUR"),IF(AND($AA821="Crédit",$O821=$O822),$R822,IF(AND($AA821="Débit",$O821=$O820),$R820)),IF(OR(AND(OR($E821&lt;&gt;"",$M821=""),$N821&lt;&gt;0),$A821=""),IFERROR(INDEX(Investment!$H:$H,MATCH($E821,Investment!$F:$F,0))),IFERROR(INDEX($R822:$R1119,MATCH(SUBSTITUTE($I821,"-","",1),$K822:$K1119,0)),INDEX($R822:$R1119,MATCH($K821,$K822:$K1119,0)))))</f>
        <v/>
      </c>
      <c r="S821" s="35" t="str">
        <f t="shared" si="2"/>
        <v/>
      </c>
      <c r="T821" s="37" t="str">
        <f t="shared" si="3"/>
        <v/>
      </c>
      <c r="U821" s="38" t="str">
        <f t="shared" si="4"/>
        <v/>
      </c>
      <c r="V821" s="31" t="str">
        <f t="shared" si="5"/>
        <v/>
      </c>
      <c r="W821" s="39" t="str">
        <f>IFERROR(__xludf.DUMMYFUNCTION(" IF(Account!$F821&lt;&gt;"""", SPLIT(Account!$F821, "" ""), """")"),"")</f>
        <v/>
      </c>
      <c r="X821" s="40"/>
      <c r="Y821" s="40"/>
      <c r="Z821" s="40"/>
      <c r="AA821" s="40"/>
      <c r="AB821" s="40"/>
      <c r="AC821" s="40"/>
      <c r="AD821" s="40"/>
      <c r="AE821" s="40"/>
      <c r="AF821" s="40"/>
      <c r="AG821" s="40"/>
      <c r="AH821" s="40"/>
      <c r="AI821" s="40"/>
      <c r="AJ821" s="40"/>
      <c r="AK821" s="40"/>
    </row>
    <row r="822">
      <c r="A822" s="300"/>
      <c r="B822" s="300"/>
      <c r="C822" s="300"/>
      <c r="D822" s="300"/>
      <c r="E822" s="300"/>
      <c r="F822" s="329"/>
      <c r="G822" s="300"/>
      <c r="H822" s="300"/>
      <c r="I822" s="300"/>
      <c r="J822" s="300"/>
      <c r="K822" s="300"/>
      <c r="L822" s="329"/>
      <c r="M822" s="29" t="str">
        <f t="shared" si="1"/>
        <v/>
      </c>
      <c r="N822" s="31" t="str">
        <f>IFERROR(__xludf.DUMMYFUNCTION("IF(Account!$F822&lt;&gt;"""", VALUE(REGEXREPLACE($I822, ""\,"", ""."")), """")"),"")</f>
        <v/>
      </c>
      <c r="O822" s="33" t="str">
        <f>IF(Account!$F822&lt;&gt;"", DATEVALUE(MID($A822,4,3) &amp; LEFT($A822,3) &amp; RIGHT($A822,4)) + TIMEVALUE($B822), "")</f>
        <v/>
      </c>
      <c r="P822" s="34" t="str">
        <f>IF(Account!$F822&lt;&gt;"", DATEVALUE(MID($C822,4,3) &amp; LEFT($C822,3) &amp; RIGHT($C822,4)), "")</f>
        <v/>
      </c>
      <c r="Q822" s="35" t="str">
        <f t="array" ref="Q822">IF($R822&lt;&gt;"",IFERROR(INDEX(Investment!$A:$A,MATCH($R822,Investment!$H:$H,0))),)</f>
        <v/>
      </c>
      <c r="R822" s="36" t="str">
        <f t="array" ref="R822">IF(AND($Y822="change",$H822="EUR"),IF(AND($AA822="Crédit",$O822=$O823),$R823,IF(AND($AA822="Débit",$O822=$O821),$R821)),IF(OR(AND(OR($E822&lt;&gt;"",$M822=""),$N822&lt;&gt;0),$A822=""),IFERROR(INDEX(Investment!$H:$H,MATCH($E822,Investment!$F:$F,0))),IFERROR(INDEX($R823:$R1119,MATCH(SUBSTITUTE($I822,"-","",1),$K823:$K1119,0)),INDEX($R823:$R1119,MATCH($K822,$K823:$K1119,0)))))</f>
        <v/>
      </c>
      <c r="S822" s="35" t="str">
        <f t="shared" si="2"/>
        <v/>
      </c>
      <c r="T822" s="37" t="str">
        <f t="shared" si="3"/>
        <v/>
      </c>
      <c r="U822" s="38" t="str">
        <f t="shared" si="4"/>
        <v/>
      </c>
      <c r="V822" s="31" t="str">
        <f t="shared" si="5"/>
        <v/>
      </c>
      <c r="W822" s="39" t="str">
        <f>IFERROR(__xludf.DUMMYFUNCTION(" IF(Account!$F822&lt;&gt;"""", SPLIT(Account!$F822, "" ""), """")"),"")</f>
        <v/>
      </c>
      <c r="X822" s="40"/>
      <c r="Y822" s="40"/>
      <c r="Z822" s="40"/>
      <c r="AA822" s="40"/>
      <c r="AB822" s="40"/>
      <c r="AC822" s="40"/>
      <c r="AD822" s="40"/>
      <c r="AE822" s="40"/>
      <c r="AF822" s="40"/>
      <c r="AG822" s="40"/>
      <c r="AH822" s="40"/>
      <c r="AI822" s="40"/>
      <c r="AJ822" s="40"/>
      <c r="AK822" s="40"/>
    </row>
    <row r="823">
      <c r="A823" s="300"/>
      <c r="B823" s="300"/>
      <c r="C823" s="300"/>
      <c r="D823" s="300"/>
      <c r="E823" s="300"/>
      <c r="F823" s="329"/>
      <c r="G823" s="300"/>
      <c r="H823" s="300"/>
      <c r="I823" s="300"/>
      <c r="J823" s="300"/>
      <c r="K823" s="300"/>
      <c r="L823" s="329"/>
      <c r="M823" s="29" t="str">
        <f t="shared" si="1"/>
        <v/>
      </c>
      <c r="N823" s="31" t="str">
        <f>IFERROR(__xludf.DUMMYFUNCTION("IF(Account!$F823&lt;&gt;"""", VALUE(REGEXREPLACE($I823, ""\,"", ""."")), """")"),"")</f>
        <v/>
      </c>
      <c r="O823" s="33" t="str">
        <f>IF(Account!$F823&lt;&gt;"", DATEVALUE(MID($A823,4,3) &amp; LEFT($A823,3) &amp; RIGHT($A823,4)) + TIMEVALUE($B823), "")</f>
        <v/>
      </c>
      <c r="P823" s="34" t="str">
        <f>IF(Account!$F823&lt;&gt;"", DATEVALUE(MID($C823,4,3) &amp; LEFT($C823,3) &amp; RIGHT($C823,4)), "")</f>
        <v/>
      </c>
      <c r="Q823" s="35" t="str">
        <f t="array" ref="Q823">IF($R823&lt;&gt;"",IFERROR(INDEX(Investment!$A:$A,MATCH($R823,Investment!$H:$H,0))),)</f>
        <v/>
      </c>
      <c r="R823" s="36" t="str">
        <f t="array" ref="R823">IF(AND($Y823="change",$H823="EUR"),IF(AND($AA823="Crédit",$O823=$O824),$R824,IF(AND($AA823="Débit",$O823=$O822),$R822)),IF(OR(AND(OR($E823&lt;&gt;"",$M823=""),$N823&lt;&gt;0),$A823=""),IFERROR(INDEX(Investment!$H:$H,MATCH($E823,Investment!$F:$F,0))),IFERROR(INDEX($R824:$R1119,MATCH(SUBSTITUTE($I823,"-","",1),$K824:$K1119,0)),INDEX($R824:$R1119,MATCH($K823,$K824:$K1119,0)))))</f>
        <v/>
      </c>
      <c r="S823" s="35" t="str">
        <f t="shared" si="2"/>
        <v/>
      </c>
      <c r="T823" s="37" t="str">
        <f t="shared" si="3"/>
        <v/>
      </c>
      <c r="U823" s="38" t="str">
        <f t="shared" si="4"/>
        <v/>
      </c>
      <c r="V823" s="31" t="str">
        <f t="shared" si="5"/>
        <v/>
      </c>
      <c r="W823" s="39" t="str">
        <f>IFERROR(__xludf.DUMMYFUNCTION(" IF(Account!$F823&lt;&gt;"""", SPLIT(Account!$F823, "" ""), """")"),"")</f>
        <v/>
      </c>
      <c r="X823" s="40"/>
      <c r="Y823" s="40"/>
      <c r="Z823" s="40"/>
      <c r="AA823" s="40"/>
      <c r="AB823" s="40"/>
      <c r="AC823" s="40"/>
      <c r="AD823" s="40"/>
      <c r="AE823" s="40"/>
      <c r="AF823" s="40"/>
      <c r="AG823" s="40"/>
      <c r="AH823" s="40"/>
      <c r="AI823" s="40"/>
      <c r="AJ823" s="40"/>
      <c r="AK823" s="40"/>
    </row>
    <row r="824">
      <c r="A824" s="300"/>
      <c r="B824" s="300"/>
      <c r="C824" s="300"/>
      <c r="D824" s="300"/>
      <c r="E824" s="300"/>
      <c r="F824" s="329"/>
      <c r="G824" s="300"/>
      <c r="H824" s="300"/>
      <c r="I824" s="300"/>
      <c r="J824" s="300"/>
      <c r="K824" s="300"/>
      <c r="L824" s="329"/>
      <c r="M824" s="29" t="str">
        <f t="shared" si="1"/>
        <v/>
      </c>
      <c r="N824" s="31" t="str">
        <f>IFERROR(__xludf.DUMMYFUNCTION("IF(Account!$F824&lt;&gt;"""", VALUE(REGEXREPLACE($I824, ""\,"", ""."")), """")"),"")</f>
        <v/>
      </c>
      <c r="O824" s="33" t="str">
        <f>IF(Account!$F824&lt;&gt;"", DATEVALUE(MID($A824,4,3) &amp; LEFT($A824,3) &amp; RIGHT($A824,4)) + TIMEVALUE($B824), "")</f>
        <v/>
      </c>
      <c r="P824" s="34" t="str">
        <f>IF(Account!$F824&lt;&gt;"", DATEVALUE(MID($C824,4,3) &amp; LEFT($C824,3) &amp; RIGHT($C824,4)), "")</f>
        <v/>
      </c>
      <c r="Q824" s="35" t="str">
        <f t="array" ref="Q824">IF($R824&lt;&gt;"",IFERROR(INDEX(Investment!$A:$A,MATCH($R824,Investment!$H:$H,0))),)</f>
        <v/>
      </c>
      <c r="R824" s="36" t="str">
        <f t="array" ref="R824">IF(AND($Y824="change",$H824="EUR"),IF(AND($AA824="Crédit",$O824=$O825),$R825,IF(AND($AA824="Débit",$O824=$O823),$R823)),IF(OR(AND(OR($E824&lt;&gt;"",$M824=""),$N824&lt;&gt;0),$A824=""),IFERROR(INDEX(Investment!$H:$H,MATCH($E824,Investment!$F:$F,0))),IFERROR(INDEX($R825:$R1119,MATCH(SUBSTITUTE($I824,"-","",1),$K825:$K1119,0)),INDEX($R825:$R1119,MATCH($K824,$K825:$K1119,0)))))</f>
        <v/>
      </c>
      <c r="S824" s="35" t="str">
        <f t="shared" si="2"/>
        <v/>
      </c>
      <c r="T824" s="37" t="str">
        <f t="shared" si="3"/>
        <v/>
      </c>
      <c r="U824" s="38" t="str">
        <f t="shared" si="4"/>
        <v/>
      </c>
      <c r="V824" s="31" t="str">
        <f t="shared" si="5"/>
        <v/>
      </c>
      <c r="W824" s="39" t="str">
        <f>IFERROR(__xludf.DUMMYFUNCTION(" IF(Account!$F824&lt;&gt;"""", SPLIT(Account!$F824, "" ""), """")"),"")</f>
        <v/>
      </c>
      <c r="X824" s="40"/>
      <c r="Y824" s="40"/>
      <c r="Z824" s="40"/>
      <c r="AA824" s="40"/>
      <c r="AB824" s="40"/>
      <c r="AC824" s="40"/>
      <c r="AD824" s="40"/>
      <c r="AE824" s="40"/>
      <c r="AF824" s="40"/>
      <c r="AG824" s="40"/>
      <c r="AH824" s="40"/>
      <c r="AI824" s="40"/>
      <c r="AJ824" s="40"/>
      <c r="AK824" s="40"/>
    </row>
    <row r="825">
      <c r="A825" s="300"/>
      <c r="B825" s="300"/>
      <c r="C825" s="300"/>
      <c r="D825" s="300"/>
      <c r="E825" s="300"/>
      <c r="F825" s="329"/>
      <c r="G825" s="300"/>
      <c r="H825" s="300"/>
      <c r="I825" s="300"/>
      <c r="J825" s="300"/>
      <c r="K825" s="300"/>
      <c r="L825" s="329"/>
      <c r="M825" s="29" t="str">
        <f t="shared" si="1"/>
        <v/>
      </c>
      <c r="N825" s="31" t="str">
        <f>IFERROR(__xludf.DUMMYFUNCTION("IF(Account!$F825&lt;&gt;"""", VALUE(REGEXREPLACE($I825, ""\,"", ""."")), """")"),"")</f>
        <v/>
      </c>
      <c r="O825" s="33" t="str">
        <f>IF(Account!$F825&lt;&gt;"", DATEVALUE(MID($A825,4,3) &amp; LEFT($A825,3) &amp; RIGHT($A825,4)) + TIMEVALUE($B825), "")</f>
        <v/>
      </c>
      <c r="P825" s="34" t="str">
        <f>IF(Account!$F825&lt;&gt;"", DATEVALUE(MID($C825,4,3) &amp; LEFT($C825,3) &amp; RIGHT($C825,4)), "")</f>
        <v/>
      </c>
      <c r="Q825" s="35" t="str">
        <f t="array" ref="Q825">IF($R825&lt;&gt;"",IFERROR(INDEX(Investment!$A:$A,MATCH($R825,Investment!$H:$H,0))),)</f>
        <v/>
      </c>
      <c r="R825" s="36" t="str">
        <f t="array" ref="R825">IF(AND($Y825="change",$H825="EUR"),IF(AND($AA825="Crédit",$O825=$O826),$R826,IF(AND($AA825="Débit",$O825=$O824),$R824)),IF(OR(AND(OR($E825&lt;&gt;"",$M825=""),$N825&lt;&gt;0),$A825=""),IFERROR(INDEX(Investment!$H:$H,MATCH($E825,Investment!$F:$F,0))),IFERROR(INDEX($R826:$R1119,MATCH(SUBSTITUTE($I825,"-","",1),$K826:$K1119,0)),INDEX($R826:$R1119,MATCH($K825,$K826:$K1119,0)))))</f>
        <v/>
      </c>
      <c r="S825" s="35" t="str">
        <f t="shared" si="2"/>
        <v/>
      </c>
      <c r="T825" s="37" t="str">
        <f t="shared" si="3"/>
        <v/>
      </c>
      <c r="U825" s="38" t="str">
        <f t="shared" si="4"/>
        <v/>
      </c>
      <c r="V825" s="31" t="str">
        <f t="shared" si="5"/>
        <v/>
      </c>
      <c r="W825" s="39" t="str">
        <f>IFERROR(__xludf.DUMMYFUNCTION(" IF(Account!$F825&lt;&gt;"""", SPLIT(Account!$F825, "" ""), """")"),"")</f>
        <v/>
      </c>
      <c r="X825" s="40"/>
      <c r="Y825" s="40"/>
      <c r="Z825" s="40"/>
      <c r="AA825" s="40"/>
      <c r="AB825" s="40"/>
      <c r="AC825" s="40"/>
      <c r="AD825" s="40"/>
      <c r="AE825" s="40"/>
      <c r="AF825" s="40"/>
      <c r="AG825" s="40"/>
      <c r="AH825" s="40"/>
      <c r="AI825" s="40"/>
      <c r="AJ825" s="40"/>
      <c r="AK825" s="40"/>
    </row>
    <row r="826">
      <c r="A826" s="300"/>
      <c r="B826" s="300"/>
      <c r="C826" s="300"/>
      <c r="D826" s="300"/>
      <c r="E826" s="300"/>
      <c r="F826" s="329"/>
      <c r="G826" s="300"/>
      <c r="H826" s="300"/>
      <c r="I826" s="300"/>
      <c r="J826" s="300"/>
      <c r="K826" s="300"/>
      <c r="L826" s="329"/>
      <c r="M826" s="29" t="str">
        <f t="shared" si="1"/>
        <v/>
      </c>
      <c r="N826" s="31" t="str">
        <f>IFERROR(__xludf.DUMMYFUNCTION("IF(Account!$F826&lt;&gt;"""", VALUE(REGEXREPLACE($I826, ""\,"", ""."")), """")"),"")</f>
        <v/>
      </c>
      <c r="O826" s="33" t="str">
        <f>IF(Account!$F826&lt;&gt;"", DATEVALUE(MID($A826,4,3) &amp; LEFT($A826,3) &amp; RIGHT($A826,4)) + TIMEVALUE($B826), "")</f>
        <v/>
      </c>
      <c r="P826" s="34" t="str">
        <f>IF(Account!$F826&lt;&gt;"", DATEVALUE(MID($C826,4,3) &amp; LEFT($C826,3) &amp; RIGHT($C826,4)), "")</f>
        <v/>
      </c>
      <c r="Q826" s="35" t="str">
        <f t="array" ref="Q826">IF($R826&lt;&gt;"",IFERROR(INDEX(Investment!$A:$A,MATCH($R826,Investment!$H:$H,0))),)</f>
        <v/>
      </c>
      <c r="R826" s="36" t="str">
        <f t="array" ref="R826">IF(AND($Y826="change",$H826="EUR"),IF(AND($AA826="Crédit",$O826=$O827),$R827,IF(AND($AA826="Débit",$O826=$O825),$R825)),IF(OR(AND(OR($E826&lt;&gt;"",$M826=""),$N826&lt;&gt;0),$A826=""),IFERROR(INDEX(Investment!$H:$H,MATCH($E826,Investment!$F:$F,0))),IFERROR(INDEX($R827:$R1119,MATCH(SUBSTITUTE($I826,"-","",1),$K827:$K1119,0)),INDEX($R827:$R1119,MATCH($K826,$K827:$K1119,0)))))</f>
        <v/>
      </c>
      <c r="S826" s="35" t="str">
        <f t="shared" si="2"/>
        <v/>
      </c>
      <c r="T826" s="37" t="str">
        <f t="shared" si="3"/>
        <v/>
      </c>
      <c r="U826" s="38" t="str">
        <f t="shared" si="4"/>
        <v/>
      </c>
      <c r="V826" s="31" t="str">
        <f t="shared" si="5"/>
        <v/>
      </c>
      <c r="W826" s="39" t="str">
        <f>IFERROR(__xludf.DUMMYFUNCTION(" IF(Account!$F826&lt;&gt;"""", SPLIT(Account!$F826, "" ""), """")"),"")</f>
        <v/>
      </c>
      <c r="X826" s="40"/>
      <c r="Y826" s="40"/>
      <c r="Z826" s="40"/>
      <c r="AA826" s="40"/>
      <c r="AB826" s="40"/>
      <c r="AC826" s="40"/>
      <c r="AD826" s="40"/>
      <c r="AE826" s="40"/>
      <c r="AF826" s="40"/>
      <c r="AG826" s="40"/>
      <c r="AH826" s="40"/>
      <c r="AI826" s="40"/>
      <c r="AJ826" s="40"/>
      <c r="AK826" s="40"/>
    </row>
    <row r="827">
      <c r="A827" s="300"/>
      <c r="B827" s="300"/>
      <c r="C827" s="300"/>
      <c r="D827" s="300"/>
      <c r="E827" s="300"/>
      <c r="F827" s="329"/>
      <c r="G827" s="300"/>
      <c r="H827" s="300"/>
      <c r="I827" s="300"/>
      <c r="J827" s="300"/>
      <c r="K827" s="300"/>
      <c r="L827" s="329"/>
      <c r="M827" s="29" t="str">
        <f t="shared" si="1"/>
        <v/>
      </c>
      <c r="N827" s="31" t="str">
        <f>IFERROR(__xludf.DUMMYFUNCTION("IF(Account!$F827&lt;&gt;"""", VALUE(REGEXREPLACE($I827, ""\,"", ""."")), """")"),"")</f>
        <v/>
      </c>
      <c r="O827" s="33" t="str">
        <f>IF(Account!$F827&lt;&gt;"", DATEVALUE(MID($A827,4,3) &amp; LEFT($A827,3) &amp; RIGHT($A827,4)) + TIMEVALUE($B827), "")</f>
        <v/>
      </c>
      <c r="P827" s="34" t="str">
        <f>IF(Account!$F827&lt;&gt;"", DATEVALUE(MID($C827,4,3) &amp; LEFT($C827,3) &amp; RIGHT($C827,4)), "")</f>
        <v/>
      </c>
      <c r="Q827" s="35" t="str">
        <f t="array" ref="Q827">IF($R827&lt;&gt;"",IFERROR(INDEX(Investment!$A:$A,MATCH($R827,Investment!$H:$H,0))),)</f>
        <v/>
      </c>
      <c r="R827" s="36" t="str">
        <f t="array" ref="R827">IF(AND($Y827="change",$H827="EUR"),IF(AND($AA827="Crédit",$O827=$O828),$R828,IF(AND($AA827="Débit",$O827=$O826),$R826)),IF(OR(AND(OR($E827&lt;&gt;"",$M827=""),$N827&lt;&gt;0),$A827=""),IFERROR(INDEX(Investment!$H:$H,MATCH($E827,Investment!$F:$F,0))),IFERROR(INDEX($R828:$R1119,MATCH(SUBSTITUTE($I827,"-","",1),$K828:$K1119,0)),INDEX($R828:$R1119,MATCH($K827,$K828:$K1119,0)))))</f>
        <v/>
      </c>
      <c r="S827" s="35" t="str">
        <f t="shared" si="2"/>
        <v/>
      </c>
      <c r="T827" s="37" t="str">
        <f t="shared" si="3"/>
        <v/>
      </c>
      <c r="U827" s="38" t="str">
        <f t="shared" si="4"/>
        <v/>
      </c>
      <c r="V827" s="31" t="str">
        <f t="shared" si="5"/>
        <v/>
      </c>
      <c r="W827" s="39" t="str">
        <f>IFERROR(__xludf.DUMMYFUNCTION(" IF(Account!$F827&lt;&gt;"""", SPLIT(Account!$F827, "" ""), """")"),"")</f>
        <v/>
      </c>
      <c r="X827" s="40"/>
      <c r="Y827" s="40"/>
      <c r="Z827" s="40"/>
      <c r="AA827" s="40"/>
      <c r="AB827" s="40"/>
      <c r="AC827" s="40"/>
      <c r="AD827" s="40"/>
      <c r="AE827" s="40"/>
      <c r="AF827" s="40"/>
      <c r="AG827" s="40"/>
      <c r="AH827" s="40"/>
      <c r="AI827" s="40"/>
      <c r="AJ827" s="40"/>
      <c r="AK827" s="40"/>
    </row>
    <row r="828">
      <c r="A828" s="300"/>
      <c r="B828" s="300"/>
      <c r="C828" s="300"/>
      <c r="D828" s="300"/>
      <c r="E828" s="300"/>
      <c r="F828" s="329"/>
      <c r="G828" s="300"/>
      <c r="H828" s="300"/>
      <c r="I828" s="300"/>
      <c r="J828" s="300"/>
      <c r="K828" s="300"/>
      <c r="L828" s="329"/>
      <c r="M828" s="29" t="str">
        <f t="shared" si="1"/>
        <v/>
      </c>
      <c r="N828" s="31" t="str">
        <f>IFERROR(__xludf.DUMMYFUNCTION("IF(Account!$F828&lt;&gt;"""", VALUE(REGEXREPLACE($I828, ""\,"", ""."")), """")"),"")</f>
        <v/>
      </c>
      <c r="O828" s="33" t="str">
        <f>IF(Account!$F828&lt;&gt;"", DATEVALUE(MID($A828,4,3) &amp; LEFT($A828,3) &amp; RIGHT($A828,4)) + TIMEVALUE($B828), "")</f>
        <v/>
      </c>
      <c r="P828" s="34" t="str">
        <f>IF(Account!$F828&lt;&gt;"", DATEVALUE(MID($C828,4,3) &amp; LEFT($C828,3) &amp; RIGHT($C828,4)), "")</f>
        <v/>
      </c>
      <c r="Q828" s="35" t="str">
        <f t="array" ref="Q828">IF($R828&lt;&gt;"",IFERROR(INDEX(Investment!$A:$A,MATCH($R828,Investment!$H:$H,0))),)</f>
        <v/>
      </c>
      <c r="R828" s="36" t="str">
        <f t="array" ref="R828">IF(AND($Y828="change",$H828="EUR"),IF(AND($AA828="Crédit",$O828=$O829),$R829,IF(AND($AA828="Débit",$O828=$O827),$R827)),IF(OR(AND(OR($E828&lt;&gt;"",$M828=""),$N828&lt;&gt;0),$A828=""),IFERROR(INDEX(Investment!$H:$H,MATCH($E828,Investment!$F:$F,0))),IFERROR(INDEX($R829:$R1119,MATCH(SUBSTITUTE($I828,"-","",1),$K829:$K1119,0)),INDEX($R829:$R1119,MATCH($K828,$K829:$K1119,0)))))</f>
        <v/>
      </c>
      <c r="S828" s="35" t="str">
        <f t="shared" si="2"/>
        <v/>
      </c>
      <c r="T828" s="37" t="str">
        <f t="shared" si="3"/>
        <v/>
      </c>
      <c r="U828" s="38" t="str">
        <f t="shared" si="4"/>
        <v/>
      </c>
      <c r="V828" s="31" t="str">
        <f t="shared" si="5"/>
        <v/>
      </c>
      <c r="W828" s="39" t="str">
        <f>IFERROR(__xludf.DUMMYFUNCTION(" IF(Account!$F828&lt;&gt;"""", SPLIT(Account!$F828, "" ""), """")"),"")</f>
        <v/>
      </c>
      <c r="X828" s="40"/>
      <c r="Y828" s="40"/>
      <c r="Z828" s="40"/>
      <c r="AA828" s="40"/>
      <c r="AB828" s="40"/>
      <c r="AC828" s="40"/>
      <c r="AD828" s="40"/>
      <c r="AE828" s="40"/>
      <c r="AF828" s="40"/>
      <c r="AG828" s="40"/>
      <c r="AH828" s="40"/>
      <c r="AI828" s="40"/>
      <c r="AJ828" s="40"/>
      <c r="AK828" s="40"/>
    </row>
    <row r="829">
      <c r="A829" s="300"/>
      <c r="B829" s="300"/>
      <c r="C829" s="300"/>
      <c r="D829" s="300"/>
      <c r="E829" s="300"/>
      <c r="F829" s="329"/>
      <c r="G829" s="300"/>
      <c r="H829" s="300"/>
      <c r="I829" s="300"/>
      <c r="J829" s="300"/>
      <c r="K829" s="300"/>
      <c r="L829" s="329"/>
      <c r="M829" s="29" t="str">
        <f t="shared" si="1"/>
        <v/>
      </c>
      <c r="N829" s="31" t="str">
        <f>IFERROR(__xludf.DUMMYFUNCTION("IF(Account!$F829&lt;&gt;"""", VALUE(REGEXREPLACE($I829, ""\,"", ""."")), """")"),"")</f>
        <v/>
      </c>
      <c r="O829" s="33" t="str">
        <f>IF(Account!$F829&lt;&gt;"", DATEVALUE(MID($A829,4,3) &amp; LEFT($A829,3) &amp; RIGHT($A829,4)) + TIMEVALUE($B829), "")</f>
        <v/>
      </c>
      <c r="P829" s="34" t="str">
        <f>IF(Account!$F829&lt;&gt;"", DATEVALUE(MID($C829,4,3) &amp; LEFT($C829,3) &amp; RIGHT($C829,4)), "")</f>
        <v/>
      </c>
      <c r="Q829" s="35" t="str">
        <f t="array" ref="Q829">IF($R829&lt;&gt;"",IFERROR(INDEX(Investment!$A:$A,MATCH($R829,Investment!$H:$H,0))),)</f>
        <v/>
      </c>
      <c r="R829" s="36" t="str">
        <f t="array" ref="R829">IF(AND($Y829="change",$H829="EUR"),IF(AND($AA829="Crédit",$O829=$O830),$R830,IF(AND($AA829="Débit",$O829=$O828),$R828)),IF(OR(AND(OR($E829&lt;&gt;"",$M829=""),$N829&lt;&gt;0),$A829=""),IFERROR(INDEX(Investment!$H:$H,MATCH($E829,Investment!$F:$F,0))),IFERROR(INDEX($R830:$R1119,MATCH(SUBSTITUTE($I829,"-","",1),$K830:$K1119,0)),INDEX($R830:$R1119,MATCH($K829,$K830:$K1119,0)))))</f>
        <v/>
      </c>
      <c r="S829" s="35" t="str">
        <f t="shared" si="2"/>
        <v/>
      </c>
      <c r="T829" s="37" t="str">
        <f t="shared" si="3"/>
        <v/>
      </c>
      <c r="U829" s="38" t="str">
        <f t="shared" si="4"/>
        <v/>
      </c>
      <c r="V829" s="31" t="str">
        <f t="shared" si="5"/>
        <v/>
      </c>
      <c r="W829" s="39" t="str">
        <f>IFERROR(__xludf.DUMMYFUNCTION(" IF(Account!$F829&lt;&gt;"""", SPLIT(Account!$F829, "" ""), """")"),"")</f>
        <v/>
      </c>
      <c r="X829" s="40"/>
      <c r="Y829" s="40"/>
      <c r="Z829" s="40"/>
      <c r="AA829" s="40"/>
      <c r="AB829" s="40"/>
      <c r="AC829" s="40"/>
      <c r="AD829" s="40"/>
      <c r="AE829" s="40"/>
      <c r="AF829" s="40"/>
      <c r="AG829" s="40"/>
      <c r="AH829" s="40"/>
      <c r="AI829" s="40"/>
      <c r="AJ829" s="40"/>
      <c r="AK829" s="40"/>
    </row>
    <row r="830">
      <c r="A830" s="300"/>
      <c r="B830" s="300"/>
      <c r="C830" s="300"/>
      <c r="D830" s="300"/>
      <c r="E830" s="300"/>
      <c r="F830" s="329"/>
      <c r="G830" s="300"/>
      <c r="H830" s="300"/>
      <c r="I830" s="300"/>
      <c r="J830" s="300"/>
      <c r="K830" s="300"/>
      <c r="L830" s="329"/>
      <c r="M830" s="29" t="str">
        <f t="shared" si="1"/>
        <v/>
      </c>
      <c r="N830" s="31" t="str">
        <f>IFERROR(__xludf.DUMMYFUNCTION("IF(Account!$F830&lt;&gt;"""", VALUE(REGEXREPLACE($I830, ""\,"", ""."")), """")"),"")</f>
        <v/>
      </c>
      <c r="O830" s="33" t="str">
        <f>IF(Account!$F830&lt;&gt;"", DATEVALUE(MID($A830,4,3) &amp; LEFT($A830,3) &amp; RIGHT($A830,4)) + TIMEVALUE($B830), "")</f>
        <v/>
      </c>
      <c r="P830" s="34" t="str">
        <f>IF(Account!$F830&lt;&gt;"", DATEVALUE(MID($C830,4,3) &amp; LEFT($C830,3) &amp; RIGHT($C830,4)), "")</f>
        <v/>
      </c>
      <c r="Q830" s="35" t="str">
        <f t="array" ref="Q830">IF($R830&lt;&gt;"",IFERROR(INDEX(Investment!$A:$A,MATCH($R830,Investment!$H:$H,0))),)</f>
        <v/>
      </c>
      <c r="R830" s="36" t="str">
        <f t="array" ref="R830">IF(AND($Y830="change",$H830="EUR"),IF(AND($AA830="Crédit",$O830=$O831),$R831,IF(AND($AA830="Débit",$O830=$O829),$R829)),IF(OR(AND(OR($E830&lt;&gt;"",$M830=""),$N830&lt;&gt;0),$A830=""),IFERROR(INDEX(Investment!$H:$H,MATCH($E830,Investment!$F:$F,0))),IFERROR(INDEX($R831:$R1119,MATCH(SUBSTITUTE($I830,"-","",1),$K831:$K1119,0)),INDEX($R831:$R1119,MATCH($K830,$K831:$K1119,0)))))</f>
        <v/>
      </c>
      <c r="S830" s="35" t="str">
        <f t="shared" si="2"/>
        <v/>
      </c>
      <c r="T830" s="37" t="str">
        <f t="shared" si="3"/>
        <v/>
      </c>
      <c r="U830" s="38" t="str">
        <f t="shared" si="4"/>
        <v/>
      </c>
      <c r="V830" s="31" t="str">
        <f t="shared" si="5"/>
        <v/>
      </c>
      <c r="W830" s="39" t="str">
        <f>IFERROR(__xludf.DUMMYFUNCTION(" IF(Account!$F830&lt;&gt;"""", SPLIT(Account!$F830, "" ""), """")"),"")</f>
        <v/>
      </c>
      <c r="X830" s="40"/>
      <c r="Y830" s="40"/>
      <c r="Z830" s="40"/>
      <c r="AA830" s="40"/>
      <c r="AB830" s="40"/>
      <c r="AC830" s="40"/>
      <c r="AD830" s="40"/>
      <c r="AE830" s="40"/>
      <c r="AF830" s="40"/>
      <c r="AG830" s="40"/>
      <c r="AH830" s="40"/>
      <c r="AI830" s="40"/>
      <c r="AJ830" s="40"/>
      <c r="AK830" s="40"/>
    </row>
    <row r="831">
      <c r="A831" s="300"/>
      <c r="B831" s="300"/>
      <c r="C831" s="300"/>
      <c r="D831" s="300"/>
      <c r="E831" s="300"/>
      <c r="F831" s="329"/>
      <c r="G831" s="300"/>
      <c r="H831" s="300"/>
      <c r="I831" s="300"/>
      <c r="J831" s="300"/>
      <c r="K831" s="300"/>
      <c r="L831" s="329"/>
      <c r="M831" s="29" t="str">
        <f t="shared" si="1"/>
        <v/>
      </c>
      <c r="N831" s="31" t="str">
        <f>IFERROR(__xludf.DUMMYFUNCTION("IF(Account!$F831&lt;&gt;"""", VALUE(REGEXREPLACE($I831, ""\,"", ""."")), """")"),"")</f>
        <v/>
      </c>
      <c r="O831" s="33" t="str">
        <f>IF(Account!$F831&lt;&gt;"", DATEVALUE(MID($A831,4,3) &amp; LEFT($A831,3) &amp; RIGHT($A831,4)) + TIMEVALUE($B831), "")</f>
        <v/>
      </c>
      <c r="P831" s="34" t="str">
        <f>IF(Account!$F831&lt;&gt;"", DATEVALUE(MID($C831,4,3) &amp; LEFT($C831,3) &amp; RIGHT($C831,4)), "")</f>
        <v/>
      </c>
      <c r="Q831" s="35" t="str">
        <f t="array" ref="Q831">IF($R831&lt;&gt;"",IFERROR(INDEX(Investment!$A:$A,MATCH($R831,Investment!$H:$H,0))),)</f>
        <v/>
      </c>
      <c r="R831" s="36" t="str">
        <f t="array" ref="R831">IF(AND($Y831="change",$H831="EUR"),IF(AND($AA831="Crédit",$O831=$O832),$R832,IF(AND($AA831="Débit",$O831=$O830),$R830)),IF(OR(AND(OR($E831&lt;&gt;"",$M831=""),$N831&lt;&gt;0),$A831=""),IFERROR(INDEX(Investment!$H:$H,MATCH($E831,Investment!$F:$F,0))),IFERROR(INDEX($R832:$R1119,MATCH(SUBSTITUTE($I831,"-","",1),$K832:$K1119,0)),INDEX($R832:$R1119,MATCH($K831,$K832:$K1119,0)))))</f>
        <v/>
      </c>
      <c r="S831" s="35" t="str">
        <f t="shared" si="2"/>
        <v/>
      </c>
      <c r="T831" s="37" t="str">
        <f t="shared" si="3"/>
        <v/>
      </c>
      <c r="U831" s="38" t="str">
        <f t="shared" si="4"/>
        <v/>
      </c>
      <c r="V831" s="31" t="str">
        <f t="shared" si="5"/>
        <v/>
      </c>
      <c r="W831" s="39" t="str">
        <f>IFERROR(__xludf.DUMMYFUNCTION(" IF(Account!$F831&lt;&gt;"""", SPLIT(Account!$F831, "" ""), """")"),"")</f>
        <v/>
      </c>
      <c r="X831" s="40"/>
      <c r="Y831" s="40"/>
      <c r="Z831" s="40"/>
      <c r="AA831" s="40"/>
      <c r="AB831" s="40"/>
      <c r="AC831" s="40"/>
      <c r="AD831" s="40"/>
      <c r="AE831" s="40"/>
      <c r="AF831" s="40"/>
      <c r="AG831" s="40"/>
      <c r="AH831" s="40"/>
      <c r="AI831" s="40"/>
      <c r="AJ831" s="40"/>
      <c r="AK831" s="40"/>
    </row>
    <row r="832">
      <c r="A832" s="300"/>
      <c r="B832" s="300"/>
      <c r="C832" s="300"/>
      <c r="D832" s="300"/>
      <c r="E832" s="300"/>
      <c r="F832" s="329"/>
      <c r="G832" s="300"/>
      <c r="H832" s="300"/>
      <c r="I832" s="300"/>
      <c r="J832" s="300"/>
      <c r="K832" s="300"/>
      <c r="L832" s="329"/>
      <c r="M832" s="29" t="str">
        <f t="shared" si="1"/>
        <v/>
      </c>
      <c r="N832" s="31" t="str">
        <f>IFERROR(__xludf.DUMMYFUNCTION("IF(Account!$F832&lt;&gt;"""", VALUE(REGEXREPLACE($I832, ""\,"", ""."")), """")"),"")</f>
        <v/>
      </c>
      <c r="O832" s="33" t="str">
        <f>IF(Account!$F832&lt;&gt;"", DATEVALUE(MID($A832,4,3) &amp; LEFT($A832,3) &amp; RIGHT($A832,4)) + TIMEVALUE($B832), "")</f>
        <v/>
      </c>
      <c r="P832" s="34" t="str">
        <f>IF(Account!$F832&lt;&gt;"", DATEVALUE(MID($C832,4,3) &amp; LEFT($C832,3) &amp; RIGHT($C832,4)), "")</f>
        <v/>
      </c>
      <c r="Q832" s="35" t="str">
        <f t="array" ref="Q832">IF($R832&lt;&gt;"",IFERROR(INDEX(Investment!$A:$A,MATCH($R832,Investment!$H:$H,0))),)</f>
        <v/>
      </c>
      <c r="R832" s="36" t="str">
        <f t="array" ref="R832">IF(AND($Y832="change",$H832="EUR"),IF(AND($AA832="Crédit",$O832=$O833),$R833,IF(AND($AA832="Débit",$O832=$O831),$R831)),IF(OR(AND(OR($E832&lt;&gt;"",$M832=""),$N832&lt;&gt;0),$A832=""),IFERROR(INDEX(Investment!$H:$H,MATCH($E832,Investment!$F:$F,0))),IFERROR(INDEX($R833:$R1119,MATCH(SUBSTITUTE($I832,"-","",1),$K833:$K1119,0)),INDEX($R833:$R1119,MATCH($K832,$K833:$K1119,0)))))</f>
        <v/>
      </c>
      <c r="S832" s="35" t="str">
        <f t="shared" si="2"/>
        <v/>
      </c>
      <c r="T832" s="37" t="str">
        <f t="shared" si="3"/>
        <v/>
      </c>
      <c r="U832" s="38" t="str">
        <f t="shared" si="4"/>
        <v/>
      </c>
      <c r="V832" s="31" t="str">
        <f t="shared" si="5"/>
        <v/>
      </c>
      <c r="W832" s="39" t="str">
        <f>IFERROR(__xludf.DUMMYFUNCTION(" IF(Account!$F832&lt;&gt;"""", SPLIT(Account!$F832, "" ""), """")"),"")</f>
        <v/>
      </c>
      <c r="X832" s="40"/>
      <c r="Y832" s="40"/>
      <c r="Z832" s="40"/>
      <c r="AA832" s="40"/>
      <c r="AB832" s="40"/>
      <c r="AC832" s="40"/>
      <c r="AD832" s="40"/>
      <c r="AE832" s="40"/>
      <c r="AF832" s="40"/>
      <c r="AG832" s="40"/>
      <c r="AH832" s="40"/>
      <c r="AI832" s="40"/>
      <c r="AJ832" s="40"/>
      <c r="AK832" s="40"/>
    </row>
    <row r="833">
      <c r="A833" s="300"/>
      <c r="B833" s="300"/>
      <c r="C833" s="300"/>
      <c r="D833" s="300"/>
      <c r="E833" s="300"/>
      <c r="F833" s="329"/>
      <c r="G833" s="300"/>
      <c r="H833" s="300"/>
      <c r="I833" s="300"/>
      <c r="J833" s="300"/>
      <c r="K833" s="300"/>
      <c r="L833" s="329"/>
      <c r="M833" s="29" t="str">
        <f t="shared" si="1"/>
        <v/>
      </c>
      <c r="N833" s="31" t="str">
        <f>IFERROR(__xludf.DUMMYFUNCTION("IF(Account!$F833&lt;&gt;"""", VALUE(REGEXREPLACE($I833, ""\,"", ""."")), """")"),"")</f>
        <v/>
      </c>
      <c r="O833" s="33" t="str">
        <f>IF(Account!$F833&lt;&gt;"", DATEVALUE(MID($A833,4,3) &amp; LEFT($A833,3) &amp; RIGHT($A833,4)) + TIMEVALUE($B833), "")</f>
        <v/>
      </c>
      <c r="P833" s="34" t="str">
        <f>IF(Account!$F833&lt;&gt;"", DATEVALUE(MID($C833,4,3) &amp; LEFT($C833,3) &amp; RIGHT($C833,4)), "")</f>
        <v/>
      </c>
      <c r="Q833" s="35" t="str">
        <f t="array" ref="Q833">IF($R833&lt;&gt;"",IFERROR(INDEX(Investment!$A:$A,MATCH($R833,Investment!$H:$H,0))),)</f>
        <v/>
      </c>
      <c r="R833" s="36" t="str">
        <f t="array" ref="R833">IF(AND($Y833="change",$H833="EUR"),IF(AND($AA833="Crédit",$O833=$O834),$R834,IF(AND($AA833="Débit",$O833=$O832),$R832)),IF(OR(AND(OR($E833&lt;&gt;"",$M833=""),$N833&lt;&gt;0),$A833=""),IFERROR(INDEX(Investment!$H:$H,MATCH($E833,Investment!$F:$F,0))),IFERROR(INDEX($R834:$R1119,MATCH(SUBSTITUTE($I833,"-","",1),$K834:$K1119,0)),INDEX($R834:$R1119,MATCH($K833,$K834:$K1119,0)))))</f>
        <v/>
      </c>
      <c r="S833" s="35" t="str">
        <f t="shared" si="2"/>
        <v/>
      </c>
      <c r="T833" s="37" t="str">
        <f t="shared" si="3"/>
        <v/>
      </c>
      <c r="U833" s="38" t="str">
        <f t="shared" si="4"/>
        <v/>
      </c>
      <c r="V833" s="31" t="str">
        <f t="shared" si="5"/>
        <v/>
      </c>
      <c r="W833" s="39" t="str">
        <f>IFERROR(__xludf.DUMMYFUNCTION(" IF(Account!$F833&lt;&gt;"""", SPLIT(Account!$F833, "" ""), """")"),"")</f>
        <v/>
      </c>
      <c r="X833" s="40"/>
      <c r="Y833" s="40"/>
      <c r="Z833" s="40"/>
      <c r="AA833" s="40"/>
      <c r="AB833" s="40"/>
      <c r="AC833" s="40"/>
      <c r="AD833" s="40"/>
      <c r="AE833" s="40"/>
      <c r="AF833" s="40"/>
      <c r="AG833" s="40"/>
      <c r="AH833" s="40"/>
      <c r="AI833" s="40"/>
      <c r="AJ833" s="40"/>
      <c r="AK833" s="40"/>
    </row>
    <row r="834">
      <c r="A834" s="300"/>
      <c r="B834" s="300"/>
      <c r="C834" s="300"/>
      <c r="D834" s="300"/>
      <c r="E834" s="300"/>
      <c r="F834" s="329"/>
      <c r="G834" s="300"/>
      <c r="H834" s="300"/>
      <c r="I834" s="300"/>
      <c r="J834" s="300"/>
      <c r="K834" s="300"/>
      <c r="L834" s="329"/>
      <c r="M834" s="29" t="str">
        <f t="shared" si="1"/>
        <v/>
      </c>
      <c r="N834" s="31" t="str">
        <f>IFERROR(__xludf.DUMMYFUNCTION("IF(Account!$F834&lt;&gt;"""", VALUE(REGEXREPLACE($I834, ""\,"", ""."")), """")"),"")</f>
        <v/>
      </c>
      <c r="O834" s="33" t="str">
        <f>IF(Account!$F834&lt;&gt;"", DATEVALUE(MID($A834,4,3) &amp; LEFT($A834,3) &amp; RIGHT($A834,4)) + TIMEVALUE($B834), "")</f>
        <v/>
      </c>
      <c r="P834" s="34" t="str">
        <f>IF(Account!$F834&lt;&gt;"", DATEVALUE(MID($C834,4,3) &amp; LEFT($C834,3) &amp; RIGHT($C834,4)), "")</f>
        <v/>
      </c>
      <c r="Q834" s="35" t="str">
        <f t="array" ref="Q834">IF($R834&lt;&gt;"",IFERROR(INDEX(Investment!$A:$A,MATCH($R834,Investment!$H:$H,0))),)</f>
        <v/>
      </c>
      <c r="R834" s="36" t="str">
        <f t="array" ref="R834">IF(AND($Y834="change",$H834="EUR"),IF(AND($AA834="Crédit",$O834=$O835),$R835,IF(AND($AA834="Débit",$O834=$O833),$R833)),IF(OR(AND(OR($E834&lt;&gt;"",$M834=""),$N834&lt;&gt;0),$A834=""),IFERROR(INDEX(Investment!$H:$H,MATCH($E834,Investment!$F:$F,0))),IFERROR(INDEX($R835:$R1119,MATCH(SUBSTITUTE($I834,"-","",1),$K835:$K1119,0)),INDEX($R835:$R1119,MATCH($K834,$K835:$K1119,0)))))</f>
        <v/>
      </c>
      <c r="S834" s="35" t="str">
        <f t="shared" si="2"/>
        <v/>
      </c>
      <c r="T834" s="37" t="str">
        <f t="shared" si="3"/>
        <v/>
      </c>
      <c r="U834" s="38" t="str">
        <f t="shared" si="4"/>
        <v/>
      </c>
      <c r="V834" s="31" t="str">
        <f t="shared" si="5"/>
        <v/>
      </c>
      <c r="W834" s="39" t="str">
        <f>IFERROR(__xludf.DUMMYFUNCTION(" IF(Account!$F834&lt;&gt;"""", SPLIT(Account!$F834, "" ""), """")"),"")</f>
        <v/>
      </c>
      <c r="X834" s="40"/>
      <c r="Y834" s="40"/>
      <c r="Z834" s="40"/>
      <c r="AA834" s="40"/>
      <c r="AB834" s="40"/>
      <c r="AC834" s="40"/>
      <c r="AD834" s="40"/>
      <c r="AE834" s="40"/>
      <c r="AF834" s="40"/>
      <c r="AG834" s="40"/>
      <c r="AH834" s="40"/>
      <c r="AI834" s="40"/>
      <c r="AJ834" s="40"/>
      <c r="AK834" s="40"/>
    </row>
    <row r="835">
      <c r="A835" s="300"/>
      <c r="B835" s="300"/>
      <c r="C835" s="300"/>
      <c r="D835" s="300"/>
      <c r="E835" s="300"/>
      <c r="F835" s="329"/>
      <c r="G835" s="300"/>
      <c r="H835" s="300"/>
      <c r="I835" s="300"/>
      <c r="J835" s="300"/>
      <c r="K835" s="300"/>
      <c r="L835" s="329"/>
      <c r="M835" s="29" t="str">
        <f t="shared" si="1"/>
        <v/>
      </c>
      <c r="N835" s="31" t="str">
        <f>IFERROR(__xludf.DUMMYFUNCTION("IF(Account!$F835&lt;&gt;"""", VALUE(REGEXREPLACE($I835, ""\,"", ""."")), """")"),"")</f>
        <v/>
      </c>
      <c r="O835" s="33" t="str">
        <f>IF(Account!$F835&lt;&gt;"", DATEVALUE(MID($A835,4,3) &amp; LEFT($A835,3) &amp; RIGHT($A835,4)) + TIMEVALUE($B835), "")</f>
        <v/>
      </c>
      <c r="P835" s="34" t="str">
        <f>IF(Account!$F835&lt;&gt;"", DATEVALUE(MID($C835,4,3) &amp; LEFT($C835,3) &amp; RIGHT($C835,4)), "")</f>
        <v/>
      </c>
      <c r="Q835" s="35" t="str">
        <f t="array" ref="Q835">IF($R835&lt;&gt;"",IFERROR(INDEX(Investment!$A:$A,MATCH($R835,Investment!$H:$H,0))),)</f>
        <v/>
      </c>
      <c r="R835" s="36" t="str">
        <f t="array" ref="R835">IF(AND($Y835="change",$H835="EUR"),IF(AND($AA835="Crédit",$O835=$O836),$R836,IF(AND($AA835="Débit",$O835=$O834),$R834)),IF(OR(AND(OR($E835&lt;&gt;"",$M835=""),$N835&lt;&gt;0),$A835=""),IFERROR(INDEX(Investment!$H:$H,MATCH($E835,Investment!$F:$F,0))),IFERROR(INDEX($R836:$R1119,MATCH(SUBSTITUTE($I835,"-","",1),$K836:$K1119,0)),INDEX($R836:$R1119,MATCH($K835,$K836:$K1119,0)))))</f>
        <v/>
      </c>
      <c r="S835" s="35" t="str">
        <f t="shared" si="2"/>
        <v/>
      </c>
      <c r="T835" s="37" t="str">
        <f t="shared" si="3"/>
        <v/>
      </c>
      <c r="U835" s="38" t="str">
        <f t="shared" si="4"/>
        <v/>
      </c>
      <c r="V835" s="31" t="str">
        <f t="shared" si="5"/>
        <v/>
      </c>
      <c r="W835" s="39" t="str">
        <f>IFERROR(__xludf.DUMMYFUNCTION(" IF(Account!$F835&lt;&gt;"""", SPLIT(Account!$F835, "" ""), """")"),"")</f>
        <v/>
      </c>
      <c r="X835" s="40"/>
      <c r="Y835" s="40"/>
      <c r="Z835" s="40"/>
      <c r="AA835" s="40"/>
      <c r="AB835" s="40"/>
      <c r="AC835" s="40"/>
      <c r="AD835" s="40"/>
      <c r="AE835" s="40"/>
      <c r="AF835" s="40"/>
      <c r="AG835" s="40"/>
      <c r="AH835" s="40"/>
      <c r="AI835" s="40"/>
      <c r="AJ835" s="40"/>
      <c r="AK835" s="40"/>
    </row>
    <row r="836">
      <c r="A836" s="300"/>
      <c r="B836" s="300"/>
      <c r="C836" s="300"/>
      <c r="D836" s="300"/>
      <c r="E836" s="300"/>
      <c r="F836" s="329"/>
      <c r="G836" s="300"/>
      <c r="H836" s="300"/>
      <c r="I836" s="300"/>
      <c r="J836" s="300"/>
      <c r="K836" s="300"/>
      <c r="L836" s="329"/>
      <c r="M836" s="29" t="str">
        <f t="shared" si="1"/>
        <v/>
      </c>
      <c r="N836" s="31" t="str">
        <f>IFERROR(__xludf.DUMMYFUNCTION("IF(Account!$F836&lt;&gt;"""", VALUE(REGEXREPLACE($I836, ""\,"", ""."")), """")"),"")</f>
        <v/>
      </c>
      <c r="O836" s="33" t="str">
        <f>IF(Account!$F836&lt;&gt;"", DATEVALUE(MID($A836,4,3) &amp; LEFT($A836,3) &amp; RIGHT($A836,4)) + TIMEVALUE($B836), "")</f>
        <v/>
      </c>
      <c r="P836" s="34" t="str">
        <f>IF(Account!$F836&lt;&gt;"", DATEVALUE(MID($C836,4,3) &amp; LEFT($C836,3) &amp; RIGHT($C836,4)), "")</f>
        <v/>
      </c>
      <c r="Q836" s="35" t="str">
        <f t="array" ref="Q836">IF($R836&lt;&gt;"",IFERROR(INDEX(Investment!$A:$A,MATCH($R836,Investment!$H:$H,0))),)</f>
        <v/>
      </c>
      <c r="R836" s="36" t="str">
        <f t="array" ref="R836">IF(AND($Y836="change",$H836="EUR"),IF(AND($AA836="Crédit",$O836=$O837),$R837,IF(AND($AA836="Débit",$O836=$O835),$R835)),IF(OR(AND(OR($E836&lt;&gt;"",$M836=""),$N836&lt;&gt;0),$A836=""),IFERROR(INDEX(Investment!$H:$H,MATCH($E836,Investment!$F:$F,0))),IFERROR(INDEX($R837:$R1119,MATCH(SUBSTITUTE($I836,"-","",1),$K837:$K1119,0)),INDEX($R837:$R1119,MATCH($K836,$K837:$K1119,0)))))</f>
        <v/>
      </c>
      <c r="S836" s="35" t="str">
        <f t="shared" si="2"/>
        <v/>
      </c>
      <c r="T836" s="37" t="str">
        <f t="shared" si="3"/>
        <v/>
      </c>
      <c r="U836" s="38" t="str">
        <f t="shared" si="4"/>
        <v/>
      </c>
      <c r="V836" s="31" t="str">
        <f t="shared" si="5"/>
        <v/>
      </c>
      <c r="W836" s="39" t="str">
        <f>IFERROR(__xludf.DUMMYFUNCTION(" IF(Account!$F836&lt;&gt;"""", SPLIT(Account!$F836, "" ""), """")"),"")</f>
        <v/>
      </c>
      <c r="X836" s="40"/>
      <c r="Y836" s="40"/>
      <c r="Z836" s="40"/>
      <c r="AA836" s="40"/>
      <c r="AB836" s="40"/>
      <c r="AC836" s="40"/>
      <c r="AD836" s="40"/>
      <c r="AE836" s="40"/>
      <c r="AF836" s="40"/>
      <c r="AG836" s="40"/>
      <c r="AH836" s="40"/>
      <c r="AI836" s="40"/>
      <c r="AJ836" s="40"/>
      <c r="AK836" s="40"/>
    </row>
    <row r="837">
      <c r="A837" s="300"/>
      <c r="B837" s="300"/>
      <c r="C837" s="300"/>
      <c r="D837" s="300"/>
      <c r="E837" s="300"/>
      <c r="F837" s="329"/>
      <c r="G837" s="300"/>
      <c r="H837" s="300"/>
      <c r="I837" s="300"/>
      <c r="J837" s="300"/>
      <c r="K837" s="300"/>
      <c r="L837" s="329"/>
      <c r="M837" s="29" t="str">
        <f t="shared" si="1"/>
        <v/>
      </c>
      <c r="N837" s="31" t="str">
        <f>IFERROR(__xludf.DUMMYFUNCTION("IF(Account!$F837&lt;&gt;"""", VALUE(REGEXREPLACE($I837, ""\,"", ""."")), """")"),"")</f>
        <v/>
      </c>
      <c r="O837" s="33" t="str">
        <f>IF(Account!$F837&lt;&gt;"", DATEVALUE(MID($A837,4,3) &amp; LEFT($A837,3) &amp; RIGHT($A837,4)) + TIMEVALUE($B837), "")</f>
        <v/>
      </c>
      <c r="P837" s="34" t="str">
        <f>IF(Account!$F837&lt;&gt;"", DATEVALUE(MID($C837,4,3) &amp; LEFT($C837,3) &amp; RIGHT($C837,4)), "")</f>
        <v/>
      </c>
      <c r="Q837" s="35" t="str">
        <f t="array" ref="Q837">IF($R837&lt;&gt;"",IFERROR(INDEX(Investment!$A:$A,MATCH($R837,Investment!$H:$H,0))),)</f>
        <v/>
      </c>
      <c r="R837" s="36" t="str">
        <f t="array" ref="R837">IF(AND($Y837="change",$H837="EUR"),IF(AND($AA837="Crédit",$O837=$O838),$R838,IF(AND($AA837="Débit",$O837=$O836),$R836)),IF(OR(AND(OR($E837&lt;&gt;"",$M837=""),$N837&lt;&gt;0),$A837=""),IFERROR(INDEX(Investment!$H:$H,MATCH($E837,Investment!$F:$F,0))),IFERROR(INDEX($R838:$R1119,MATCH(SUBSTITUTE($I837,"-","",1),$K838:$K1119,0)),INDEX($R838:$R1119,MATCH($K837,$K838:$K1119,0)))))</f>
        <v/>
      </c>
      <c r="S837" s="35" t="str">
        <f t="shared" si="2"/>
        <v/>
      </c>
      <c r="T837" s="37" t="str">
        <f t="shared" si="3"/>
        <v/>
      </c>
      <c r="U837" s="38" t="str">
        <f t="shared" si="4"/>
        <v/>
      </c>
      <c r="V837" s="31" t="str">
        <f t="shared" si="5"/>
        <v/>
      </c>
      <c r="W837" s="39" t="str">
        <f>IFERROR(__xludf.DUMMYFUNCTION(" IF(Account!$F837&lt;&gt;"""", SPLIT(Account!$F837, "" ""), """")"),"")</f>
        <v/>
      </c>
      <c r="X837" s="40"/>
      <c r="Y837" s="40"/>
      <c r="Z837" s="40"/>
      <c r="AA837" s="40"/>
      <c r="AB837" s="40"/>
      <c r="AC837" s="40"/>
      <c r="AD837" s="40"/>
      <c r="AE837" s="40"/>
      <c r="AF837" s="40"/>
      <c r="AG837" s="40"/>
      <c r="AH837" s="40"/>
      <c r="AI837" s="40"/>
      <c r="AJ837" s="40"/>
      <c r="AK837" s="40"/>
    </row>
    <row r="838">
      <c r="A838" s="300"/>
      <c r="B838" s="300"/>
      <c r="C838" s="300"/>
      <c r="D838" s="300"/>
      <c r="E838" s="300"/>
      <c r="F838" s="329"/>
      <c r="G838" s="300"/>
      <c r="H838" s="300"/>
      <c r="I838" s="300"/>
      <c r="J838" s="300"/>
      <c r="K838" s="300"/>
      <c r="L838" s="329"/>
      <c r="M838" s="29" t="str">
        <f t="shared" si="1"/>
        <v/>
      </c>
      <c r="N838" s="31" t="str">
        <f>IFERROR(__xludf.DUMMYFUNCTION("IF(Account!$F838&lt;&gt;"""", VALUE(REGEXREPLACE($I838, ""\,"", ""."")), """")"),"")</f>
        <v/>
      </c>
      <c r="O838" s="33" t="str">
        <f>IF(Account!$F838&lt;&gt;"", DATEVALUE(MID($A838,4,3) &amp; LEFT($A838,3) &amp; RIGHT($A838,4)) + TIMEVALUE($B838), "")</f>
        <v/>
      </c>
      <c r="P838" s="34" t="str">
        <f>IF(Account!$F838&lt;&gt;"", DATEVALUE(MID($C838,4,3) &amp; LEFT($C838,3) &amp; RIGHT($C838,4)), "")</f>
        <v/>
      </c>
      <c r="Q838" s="35" t="str">
        <f t="array" ref="Q838">IF($R838&lt;&gt;"",IFERROR(INDEX(Investment!$A:$A,MATCH($R838,Investment!$H:$H,0))),)</f>
        <v/>
      </c>
      <c r="R838" s="36" t="str">
        <f t="array" ref="R838">IF(AND($Y838="change",$H838="EUR"),IF(AND($AA838="Crédit",$O838=$O839),$R839,IF(AND($AA838="Débit",$O838=$O837),$R837)),IF(OR(AND(OR($E838&lt;&gt;"",$M838=""),$N838&lt;&gt;0),$A838=""),IFERROR(INDEX(Investment!$H:$H,MATCH($E838,Investment!$F:$F,0))),IFERROR(INDEX($R839:$R1119,MATCH(SUBSTITUTE($I838,"-","",1),$K839:$K1119,0)),INDEX($R839:$R1119,MATCH($K838,$K839:$K1119,0)))))</f>
        <v/>
      </c>
      <c r="S838" s="35" t="str">
        <f t="shared" si="2"/>
        <v/>
      </c>
      <c r="T838" s="37" t="str">
        <f t="shared" si="3"/>
        <v/>
      </c>
      <c r="U838" s="38" t="str">
        <f t="shared" si="4"/>
        <v/>
      </c>
      <c r="V838" s="31" t="str">
        <f t="shared" si="5"/>
        <v/>
      </c>
      <c r="W838" s="39" t="str">
        <f>IFERROR(__xludf.DUMMYFUNCTION(" IF(Account!$F838&lt;&gt;"""", SPLIT(Account!$F838, "" ""), """")"),"")</f>
        <v/>
      </c>
      <c r="X838" s="40"/>
      <c r="Y838" s="40"/>
      <c r="Z838" s="40"/>
      <c r="AA838" s="40"/>
      <c r="AB838" s="40"/>
      <c r="AC838" s="40"/>
      <c r="AD838" s="40"/>
      <c r="AE838" s="40"/>
      <c r="AF838" s="40"/>
      <c r="AG838" s="40"/>
      <c r="AH838" s="40"/>
      <c r="AI838" s="40"/>
      <c r="AJ838" s="40"/>
      <c r="AK838" s="40"/>
    </row>
    <row r="839">
      <c r="A839" s="300"/>
      <c r="B839" s="300"/>
      <c r="C839" s="300"/>
      <c r="D839" s="300"/>
      <c r="E839" s="300"/>
      <c r="F839" s="329"/>
      <c r="G839" s="300"/>
      <c r="H839" s="300"/>
      <c r="I839" s="300"/>
      <c r="J839" s="300"/>
      <c r="K839" s="300"/>
      <c r="L839" s="329"/>
      <c r="M839" s="29" t="str">
        <f t="shared" si="1"/>
        <v/>
      </c>
      <c r="N839" s="31" t="str">
        <f>IFERROR(__xludf.DUMMYFUNCTION("IF(Account!$F839&lt;&gt;"""", VALUE(REGEXREPLACE($I839, ""\,"", ""."")), """")"),"")</f>
        <v/>
      </c>
      <c r="O839" s="33" t="str">
        <f>IF(Account!$F839&lt;&gt;"", DATEVALUE(MID($A839,4,3) &amp; LEFT($A839,3) &amp; RIGHT($A839,4)) + TIMEVALUE($B839), "")</f>
        <v/>
      </c>
      <c r="P839" s="34" t="str">
        <f>IF(Account!$F839&lt;&gt;"", DATEVALUE(MID($C839,4,3) &amp; LEFT($C839,3) &amp; RIGHT($C839,4)), "")</f>
        <v/>
      </c>
      <c r="Q839" s="35" t="str">
        <f t="array" ref="Q839">IF($R839&lt;&gt;"",IFERROR(INDEX(Investment!$A:$A,MATCH($R839,Investment!$H:$H,0))),)</f>
        <v/>
      </c>
      <c r="R839" s="36" t="str">
        <f t="array" ref="R839">IF(AND($Y839="change",$H839="EUR"),IF(AND($AA839="Crédit",$O839=$O840),$R840,IF(AND($AA839="Débit",$O839=$O838),$R838)),IF(OR(AND(OR($E839&lt;&gt;"",$M839=""),$N839&lt;&gt;0),$A839=""),IFERROR(INDEX(Investment!$H:$H,MATCH($E839,Investment!$F:$F,0))),IFERROR(INDEX($R840:$R1119,MATCH(SUBSTITUTE($I839,"-","",1),$K840:$K1119,0)),INDEX($R840:$R1119,MATCH($K839,$K840:$K1119,0)))))</f>
        <v/>
      </c>
      <c r="S839" s="35" t="str">
        <f t="shared" si="2"/>
        <v/>
      </c>
      <c r="T839" s="37" t="str">
        <f t="shared" si="3"/>
        <v/>
      </c>
      <c r="U839" s="38" t="str">
        <f t="shared" si="4"/>
        <v/>
      </c>
      <c r="V839" s="31" t="str">
        <f t="shared" si="5"/>
        <v/>
      </c>
      <c r="W839" s="39" t="str">
        <f>IFERROR(__xludf.DUMMYFUNCTION(" IF(Account!$F839&lt;&gt;"""", SPLIT(Account!$F839, "" ""), """")"),"")</f>
        <v/>
      </c>
      <c r="X839" s="40"/>
      <c r="Y839" s="40"/>
      <c r="Z839" s="40"/>
      <c r="AA839" s="40"/>
      <c r="AB839" s="40"/>
      <c r="AC839" s="40"/>
      <c r="AD839" s="40"/>
      <c r="AE839" s="40"/>
      <c r="AF839" s="40"/>
      <c r="AG839" s="40"/>
      <c r="AH839" s="40"/>
      <c r="AI839" s="40"/>
      <c r="AJ839" s="40"/>
      <c r="AK839" s="40"/>
    </row>
    <row r="840">
      <c r="A840" s="300"/>
      <c r="B840" s="300"/>
      <c r="C840" s="300"/>
      <c r="D840" s="300"/>
      <c r="E840" s="300"/>
      <c r="F840" s="329"/>
      <c r="G840" s="300"/>
      <c r="H840" s="300"/>
      <c r="I840" s="300"/>
      <c r="J840" s="300"/>
      <c r="K840" s="300"/>
      <c r="L840" s="329"/>
      <c r="M840" s="29" t="str">
        <f t="shared" si="1"/>
        <v/>
      </c>
      <c r="N840" s="31" t="str">
        <f>IFERROR(__xludf.DUMMYFUNCTION("IF(Account!$F840&lt;&gt;"""", VALUE(REGEXREPLACE($I840, ""\,"", ""."")), """")"),"")</f>
        <v/>
      </c>
      <c r="O840" s="33" t="str">
        <f>IF(Account!$F840&lt;&gt;"", DATEVALUE(MID($A840,4,3) &amp; LEFT($A840,3) &amp; RIGHT($A840,4)) + TIMEVALUE($B840), "")</f>
        <v/>
      </c>
      <c r="P840" s="34" t="str">
        <f>IF(Account!$F840&lt;&gt;"", DATEVALUE(MID($C840,4,3) &amp; LEFT($C840,3) &amp; RIGHT($C840,4)), "")</f>
        <v/>
      </c>
      <c r="Q840" s="35" t="str">
        <f t="array" ref="Q840">IF($R840&lt;&gt;"",IFERROR(INDEX(Investment!$A:$A,MATCH($R840,Investment!$H:$H,0))),)</f>
        <v/>
      </c>
      <c r="R840" s="36" t="str">
        <f t="array" ref="R840">IF(AND($Y840="change",$H840="EUR"),IF(AND($AA840="Crédit",$O840=$O841),$R841,IF(AND($AA840="Débit",$O840=$O839),$R839)),IF(OR(AND(OR($E840&lt;&gt;"",$M840=""),$N840&lt;&gt;0),$A840=""),IFERROR(INDEX(Investment!$H:$H,MATCH($E840,Investment!$F:$F,0))),IFERROR(INDEX($R841:$R1119,MATCH(SUBSTITUTE($I840,"-","",1),$K841:$K1119,0)),INDEX($R841:$R1119,MATCH($K840,$K841:$K1119,0)))))</f>
        <v/>
      </c>
      <c r="S840" s="35" t="str">
        <f t="shared" si="2"/>
        <v/>
      </c>
      <c r="T840" s="37" t="str">
        <f t="shared" si="3"/>
        <v/>
      </c>
      <c r="U840" s="38" t="str">
        <f t="shared" si="4"/>
        <v/>
      </c>
      <c r="V840" s="31" t="str">
        <f t="shared" si="5"/>
        <v/>
      </c>
      <c r="W840" s="39" t="str">
        <f>IFERROR(__xludf.DUMMYFUNCTION(" IF(Account!$F840&lt;&gt;"""", SPLIT(Account!$F840, "" ""), """")"),"")</f>
        <v/>
      </c>
      <c r="X840" s="40"/>
      <c r="Y840" s="40"/>
      <c r="Z840" s="40"/>
      <c r="AA840" s="40"/>
      <c r="AB840" s="40"/>
      <c r="AC840" s="40"/>
      <c r="AD840" s="40"/>
      <c r="AE840" s="40"/>
      <c r="AF840" s="40"/>
      <c r="AG840" s="40"/>
      <c r="AH840" s="40"/>
      <c r="AI840" s="40"/>
      <c r="AJ840" s="40"/>
      <c r="AK840" s="40"/>
    </row>
    <row r="841">
      <c r="A841" s="300"/>
      <c r="B841" s="300"/>
      <c r="C841" s="300"/>
      <c r="D841" s="300"/>
      <c r="E841" s="300"/>
      <c r="F841" s="329"/>
      <c r="G841" s="300"/>
      <c r="H841" s="300"/>
      <c r="I841" s="300"/>
      <c r="J841" s="300"/>
      <c r="K841" s="300"/>
      <c r="L841" s="329"/>
      <c r="M841" s="29" t="str">
        <f t="shared" si="1"/>
        <v/>
      </c>
      <c r="N841" s="31" t="str">
        <f>IFERROR(__xludf.DUMMYFUNCTION("IF(Account!$F841&lt;&gt;"""", VALUE(REGEXREPLACE($I841, ""\,"", ""."")), """")"),"")</f>
        <v/>
      </c>
      <c r="O841" s="33" t="str">
        <f>IF(Account!$F841&lt;&gt;"", DATEVALUE(MID($A841,4,3) &amp; LEFT($A841,3) &amp; RIGHT($A841,4)) + TIMEVALUE($B841), "")</f>
        <v/>
      </c>
      <c r="P841" s="34" t="str">
        <f>IF(Account!$F841&lt;&gt;"", DATEVALUE(MID($C841,4,3) &amp; LEFT($C841,3) &amp; RIGHT($C841,4)), "")</f>
        <v/>
      </c>
      <c r="Q841" s="35" t="str">
        <f t="array" ref="Q841">IF($R841&lt;&gt;"",IFERROR(INDEX(Investment!$A:$A,MATCH($R841,Investment!$H:$H,0))),)</f>
        <v/>
      </c>
      <c r="R841" s="36" t="str">
        <f t="array" ref="R841">IF(AND($Y841="change",$H841="EUR"),IF(AND($AA841="Crédit",$O841=$O842),$R842,IF(AND($AA841="Débit",$O841=$O840),$R840)),IF(OR(AND(OR($E841&lt;&gt;"",$M841=""),$N841&lt;&gt;0),$A841=""),IFERROR(INDEX(Investment!$H:$H,MATCH($E841,Investment!$F:$F,0))),IFERROR(INDEX($R842:$R1119,MATCH(SUBSTITUTE($I841,"-","",1),$K842:$K1119,0)),INDEX($R842:$R1119,MATCH($K841,$K842:$K1119,0)))))</f>
        <v/>
      </c>
      <c r="S841" s="35" t="str">
        <f t="shared" si="2"/>
        <v/>
      </c>
      <c r="T841" s="37" t="str">
        <f t="shared" si="3"/>
        <v/>
      </c>
      <c r="U841" s="38" t="str">
        <f t="shared" si="4"/>
        <v/>
      </c>
      <c r="V841" s="31" t="str">
        <f t="shared" si="5"/>
        <v/>
      </c>
      <c r="W841" s="39" t="str">
        <f>IFERROR(__xludf.DUMMYFUNCTION(" IF(Account!$F841&lt;&gt;"""", SPLIT(Account!$F841, "" ""), """")"),"")</f>
        <v/>
      </c>
      <c r="X841" s="40"/>
      <c r="Y841" s="40"/>
      <c r="Z841" s="40"/>
      <c r="AA841" s="40"/>
      <c r="AB841" s="40"/>
      <c r="AC841" s="40"/>
      <c r="AD841" s="40"/>
      <c r="AE841" s="40"/>
      <c r="AF841" s="40"/>
      <c r="AG841" s="40"/>
      <c r="AH841" s="40"/>
      <c r="AI841" s="40"/>
      <c r="AJ841" s="40"/>
      <c r="AK841" s="40"/>
    </row>
    <row r="842">
      <c r="A842" s="300"/>
      <c r="B842" s="300"/>
      <c r="C842" s="300"/>
      <c r="D842" s="300"/>
      <c r="E842" s="300"/>
      <c r="F842" s="329"/>
      <c r="G842" s="300"/>
      <c r="H842" s="300"/>
      <c r="I842" s="300"/>
      <c r="J842" s="300"/>
      <c r="K842" s="300"/>
      <c r="L842" s="329"/>
      <c r="M842" s="29" t="str">
        <f t="shared" si="1"/>
        <v/>
      </c>
      <c r="N842" s="31" t="str">
        <f>IFERROR(__xludf.DUMMYFUNCTION("IF(Account!$F842&lt;&gt;"""", VALUE(REGEXREPLACE($I842, ""\,"", ""."")), """")"),"")</f>
        <v/>
      </c>
      <c r="O842" s="33" t="str">
        <f>IF(Account!$F842&lt;&gt;"", DATEVALUE(MID($A842,4,3) &amp; LEFT($A842,3) &amp; RIGHT($A842,4)) + TIMEVALUE($B842), "")</f>
        <v/>
      </c>
      <c r="P842" s="34" t="str">
        <f>IF(Account!$F842&lt;&gt;"", DATEVALUE(MID($C842,4,3) &amp; LEFT($C842,3) &amp; RIGHT($C842,4)), "")</f>
        <v/>
      </c>
      <c r="Q842" s="35" t="str">
        <f t="array" ref="Q842">IF($R842&lt;&gt;"",IFERROR(INDEX(Investment!$A:$A,MATCH($R842,Investment!$H:$H,0))),)</f>
        <v/>
      </c>
      <c r="R842" s="36" t="str">
        <f t="array" ref="R842">IF(AND($Y842="change",$H842="EUR"),IF(AND($AA842="Crédit",$O842=$O843),$R843,IF(AND($AA842="Débit",$O842=$O841),$R841)),IF(OR(AND(OR($E842&lt;&gt;"",$M842=""),$N842&lt;&gt;0),$A842=""),IFERROR(INDEX(Investment!$H:$H,MATCH($E842,Investment!$F:$F,0))),IFERROR(INDEX($R843:$R1119,MATCH(SUBSTITUTE($I842,"-","",1),$K843:$K1119,0)),INDEX($R843:$R1119,MATCH($K842,$K843:$K1119,0)))))</f>
        <v/>
      </c>
      <c r="S842" s="35" t="str">
        <f t="shared" si="2"/>
        <v/>
      </c>
      <c r="T842" s="37" t="str">
        <f t="shared" si="3"/>
        <v/>
      </c>
      <c r="U842" s="38" t="str">
        <f t="shared" si="4"/>
        <v/>
      </c>
      <c r="V842" s="31" t="str">
        <f t="shared" si="5"/>
        <v/>
      </c>
      <c r="W842" s="39" t="str">
        <f>IFERROR(__xludf.DUMMYFUNCTION(" IF(Account!$F842&lt;&gt;"""", SPLIT(Account!$F842, "" ""), """")"),"")</f>
        <v/>
      </c>
      <c r="X842" s="40"/>
      <c r="Y842" s="40"/>
      <c r="Z842" s="40"/>
      <c r="AA842" s="40"/>
      <c r="AB842" s="40"/>
      <c r="AC842" s="40"/>
      <c r="AD842" s="40"/>
      <c r="AE842" s="40"/>
      <c r="AF842" s="40"/>
      <c r="AG842" s="40"/>
      <c r="AH842" s="40"/>
      <c r="AI842" s="40"/>
      <c r="AJ842" s="40"/>
      <c r="AK842" s="40"/>
    </row>
    <row r="843">
      <c r="A843" s="300"/>
      <c r="B843" s="300"/>
      <c r="C843" s="300"/>
      <c r="D843" s="300"/>
      <c r="E843" s="300"/>
      <c r="F843" s="329"/>
      <c r="G843" s="300"/>
      <c r="H843" s="300"/>
      <c r="I843" s="300"/>
      <c r="J843" s="300"/>
      <c r="K843" s="300"/>
      <c r="L843" s="329"/>
      <c r="M843" s="29" t="str">
        <f t="shared" si="1"/>
        <v/>
      </c>
      <c r="N843" s="31" t="str">
        <f>IFERROR(__xludf.DUMMYFUNCTION("IF(Account!$F843&lt;&gt;"""", VALUE(REGEXREPLACE($I843, ""\,"", ""."")), """")"),"")</f>
        <v/>
      </c>
      <c r="O843" s="33" t="str">
        <f>IF(Account!$F843&lt;&gt;"", DATEVALUE(MID($A843,4,3) &amp; LEFT($A843,3) &amp; RIGHT($A843,4)) + TIMEVALUE($B843), "")</f>
        <v/>
      </c>
      <c r="P843" s="34" t="str">
        <f>IF(Account!$F843&lt;&gt;"", DATEVALUE(MID($C843,4,3) &amp; LEFT($C843,3) &amp; RIGHT($C843,4)), "")</f>
        <v/>
      </c>
      <c r="Q843" s="35" t="str">
        <f t="array" ref="Q843">IF($R843&lt;&gt;"",IFERROR(INDEX(Investment!$A:$A,MATCH($R843,Investment!$H:$H,0))),)</f>
        <v/>
      </c>
      <c r="R843" s="36" t="str">
        <f t="array" ref="R843">IF(AND($Y843="change",$H843="EUR"),IF(AND($AA843="Crédit",$O843=$O844),$R844,IF(AND($AA843="Débit",$O843=$O842),$R842)),IF(OR(AND(OR($E843&lt;&gt;"",$M843=""),$N843&lt;&gt;0),$A843=""),IFERROR(INDEX(Investment!$H:$H,MATCH($E843,Investment!$F:$F,0))),IFERROR(INDEX($R844:$R1119,MATCH(SUBSTITUTE($I843,"-","",1),$K844:$K1119,0)),INDEX($R844:$R1119,MATCH($K843,$K844:$K1119,0)))))</f>
        <v/>
      </c>
      <c r="S843" s="35" t="str">
        <f t="shared" si="2"/>
        <v/>
      </c>
      <c r="T843" s="37" t="str">
        <f t="shared" si="3"/>
        <v/>
      </c>
      <c r="U843" s="38" t="str">
        <f t="shared" si="4"/>
        <v/>
      </c>
      <c r="V843" s="31" t="str">
        <f t="shared" si="5"/>
        <v/>
      </c>
      <c r="W843" s="39" t="str">
        <f>IFERROR(__xludf.DUMMYFUNCTION(" IF(Account!$F843&lt;&gt;"""", SPLIT(Account!$F843, "" ""), """")"),"")</f>
        <v/>
      </c>
      <c r="X843" s="40"/>
      <c r="Y843" s="40"/>
      <c r="Z843" s="40"/>
      <c r="AA843" s="40"/>
      <c r="AB843" s="40"/>
      <c r="AC843" s="40"/>
      <c r="AD843" s="40"/>
      <c r="AE843" s="40"/>
      <c r="AF843" s="40"/>
      <c r="AG843" s="40"/>
      <c r="AH843" s="40"/>
      <c r="AI843" s="40"/>
      <c r="AJ843" s="40"/>
      <c r="AK843" s="40"/>
    </row>
    <row r="844">
      <c r="A844" s="300"/>
      <c r="B844" s="300"/>
      <c r="C844" s="300"/>
      <c r="D844" s="300"/>
      <c r="E844" s="300"/>
      <c r="F844" s="329"/>
      <c r="G844" s="300"/>
      <c r="H844" s="300"/>
      <c r="I844" s="300"/>
      <c r="J844" s="300"/>
      <c r="K844" s="300"/>
      <c r="L844" s="329"/>
      <c r="M844" s="29" t="str">
        <f t="shared" si="1"/>
        <v/>
      </c>
      <c r="N844" s="31" t="str">
        <f>IFERROR(__xludf.DUMMYFUNCTION("IF(Account!$F844&lt;&gt;"""", VALUE(REGEXREPLACE($I844, ""\,"", ""."")), """")"),"")</f>
        <v/>
      </c>
      <c r="O844" s="33" t="str">
        <f>IF(Account!$F844&lt;&gt;"", DATEVALUE(MID($A844,4,3) &amp; LEFT($A844,3) &amp; RIGHT($A844,4)) + TIMEVALUE($B844), "")</f>
        <v/>
      </c>
      <c r="P844" s="34" t="str">
        <f>IF(Account!$F844&lt;&gt;"", DATEVALUE(MID($C844,4,3) &amp; LEFT($C844,3) &amp; RIGHT($C844,4)), "")</f>
        <v/>
      </c>
      <c r="Q844" s="35" t="str">
        <f t="array" ref="Q844">IF($R844&lt;&gt;"",IFERROR(INDEX(Investment!$A:$A,MATCH($R844,Investment!$H:$H,0))),)</f>
        <v/>
      </c>
      <c r="R844" s="36" t="str">
        <f t="array" ref="R844">IF(AND($Y844="change",$H844="EUR"),IF(AND($AA844="Crédit",$O844=$O845),$R845,IF(AND($AA844="Débit",$O844=$O843),$R843)),IF(OR(AND(OR($E844&lt;&gt;"",$M844=""),$N844&lt;&gt;0),$A844=""),IFERROR(INDEX(Investment!$H:$H,MATCH($E844,Investment!$F:$F,0))),IFERROR(INDEX($R845:$R1119,MATCH(SUBSTITUTE($I844,"-","",1),$K845:$K1119,0)),INDEX($R845:$R1119,MATCH($K844,$K845:$K1119,0)))))</f>
        <v/>
      </c>
      <c r="S844" s="35" t="str">
        <f t="shared" si="2"/>
        <v/>
      </c>
      <c r="T844" s="37" t="str">
        <f t="shared" si="3"/>
        <v/>
      </c>
      <c r="U844" s="38" t="str">
        <f t="shared" si="4"/>
        <v/>
      </c>
      <c r="V844" s="31" t="str">
        <f t="shared" si="5"/>
        <v/>
      </c>
      <c r="W844" s="39" t="str">
        <f>IFERROR(__xludf.DUMMYFUNCTION(" IF(Account!$F844&lt;&gt;"""", SPLIT(Account!$F844, "" ""), """")"),"")</f>
        <v/>
      </c>
      <c r="X844" s="40"/>
      <c r="Y844" s="40"/>
      <c r="Z844" s="40"/>
      <c r="AA844" s="40"/>
      <c r="AB844" s="40"/>
      <c r="AC844" s="40"/>
      <c r="AD844" s="40"/>
      <c r="AE844" s="40"/>
      <c r="AF844" s="40"/>
      <c r="AG844" s="40"/>
      <c r="AH844" s="40"/>
      <c r="AI844" s="40"/>
      <c r="AJ844" s="40"/>
      <c r="AK844" s="40"/>
    </row>
    <row r="845">
      <c r="A845" s="300"/>
      <c r="B845" s="300"/>
      <c r="C845" s="300"/>
      <c r="D845" s="300"/>
      <c r="E845" s="300"/>
      <c r="F845" s="329"/>
      <c r="G845" s="300"/>
      <c r="H845" s="300"/>
      <c r="I845" s="300"/>
      <c r="J845" s="300"/>
      <c r="K845" s="300"/>
      <c r="L845" s="329"/>
      <c r="M845" s="29" t="str">
        <f t="shared" si="1"/>
        <v/>
      </c>
      <c r="N845" s="31" t="str">
        <f>IFERROR(__xludf.DUMMYFUNCTION("IF(Account!$F845&lt;&gt;"""", VALUE(REGEXREPLACE($I845, ""\,"", ""."")), """")"),"")</f>
        <v/>
      </c>
      <c r="O845" s="33" t="str">
        <f>IF(Account!$F845&lt;&gt;"", DATEVALUE(MID($A845,4,3) &amp; LEFT($A845,3) &amp; RIGHT($A845,4)) + TIMEVALUE($B845), "")</f>
        <v/>
      </c>
      <c r="P845" s="34" t="str">
        <f>IF(Account!$F845&lt;&gt;"", DATEVALUE(MID($C845,4,3) &amp; LEFT($C845,3) &amp; RIGHT($C845,4)), "")</f>
        <v/>
      </c>
      <c r="Q845" s="35" t="str">
        <f t="array" ref="Q845">IF($R845&lt;&gt;"",IFERROR(INDEX(Investment!$A:$A,MATCH($R845,Investment!$H:$H,0))),)</f>
        <v/>
      </c>
      <c r="R845" s="36" t="str">
        <f t="array" ref="R845">IF(AND($Y845="change",$H845="EUR"),IF(AND($AA845="Crédit",$O845=$O846),$R846,IF(AND($AA845="Débit",$O845=$O844),$R844)),IF(OR(AND(OR($E845&lt;&gt;"",$M845=""),$N845&lt;&gt;0),$A845=""),IFERROR(INDEX(Investment!$H:$H,MATCH($E845,Investment!$F:$F,0))),IFERROR(INDEX($R846:$R1119,MATCH(SUBSTITUTE($I845,"-","",1),$K846:$K1119,0)),INDEX($R846:$R1119,MATCH($K845,$K846:$K1119,0)))))</f>
        <v/>
      </c>
      <c r="S845" s="35" t="str">
        <f t="shared" si="2"/>
        <v/>
      </c>
      <c r="T845" s="37" t="str">
        <f t="shared" si="3"/>
        <v/>
      </c>
      <c r="U845" s="38" t="str">
        <f t="shared" si="4"/>
        <v/>
      </c>
      <c r="V845" s="31" t="str">
        <f t="shared" si="5"/>
        <v/>
      </c>
      <c r="W845" s="39" t="str">
        <f>IFERROR(__xludf.DUMMYFUNCTION(" IF(Account!$F845&lt;&gt;"""", SPLIT(Account!$F845, "" ""), """")"),"")</f>
        <v/>
      </c>
      <c r="X845" s="40"/>
      <c r="Y845" s="40"/>
      <c r="Z845" s="40"/>
      <c r="AA845" s="40"/>
      <c r="AB845" s="40"/>
      <c r="AC845" s="40"/>
      <c r="AD845" s="40"/>
      <c r="AE845" s="40"/>
      <c r="AF845" s="40"/>
      <c r="AG845" s="40"/>
      <c r="AH845" s="40"/>
      <c r="AI845" s="40"/>
      <c r="AJ845" s="40"/>
      <c r="AK845" s="40"/>
    </row>
    <row r="846">
      <c r="A846" s="300"/>
      <c r="B846" s="300"/>
      <c r="C846" s="300"/>
      <c r="D846" s="300"/>
      <c r="E846" s="300"/>
      <c r="F846" s="329"/>
      <c r="G846" s="300"/>
      <c r="H846" s="300"/>
      <c r="I846" s="300"/>
      <c r="J846" s="300"/>
      <c r="K846" s="300"/>
      <c r="L846" s="329"/>
      <c r="M846" s="29" t="str">
        <f t="shared" si="1"/>
        <v/>
      </c>
      <c r="N846" s="31" t="str">
        <f>IFERROR(__xludf.DUMMYFUNCTION("IF(Account!$F846&lt;&gt;"""", VALUE(REGEXREPLACE($I846, ""\,"", ""."")), """")"),"")</f>
        <v/>
      </c>
      <c r="O846" s="33" t="str">
        <f>IF(Account!$F846&lt;&gt;"", DATEVALUE(MID($A846,4,3) &amp; LEFT($A846,3) &amp; RIGHT($A846,4)) + TIMEVALUE($B846), "")</f>
        <v/>
      </c>
      <c r="P846" s="34" t="str">
        <f>IF(Account!$F846&lt;&gt;"", DATEVALUE(MID($C846,4,3) &amp; LEFT($C846,3) &amp; RIGHT($C846,4)), "")</f>
        <v/>
      </c>
      <c r="Q846" s="35" t="str">
        <f t="array" ref="Q846">IF($R846&lt;&gt;"",IFERROR(INDEX(Investment!$A:$A,MATCH($R846,Investment!$H:$H,0))),)</f>
        <v/>
      </c>
      <c r="R846" s="36" t="str">
        <f t="array" ref="R846">IF(AND($Y846="change",$H846="EUR"),IF(AND($AA846="Crédit",$O846=$O847),$R847,IF(AND($AA846="Débit",$O846=$O845),$R845)),IF(OR(AND(OR($E846&lt;&gt;"",$M846=""),$N846&lt;&gt;0),$A846=""),IFERROR(INDEX(Investment!$H:$H,MATCH($E846,Investment!$F:$F,0))),IFERROR(INDEX($R847:$R1119,MATCH(SUBSTITUTE($I846,"-","",1),$K847:$K1119,0)),INDEX($R847:$R1119,MATCH($K846,$K847:$K1119,0)))))</f>
        <v/>
      </c>
      <c r="S846" s="35" t="str">
        <f t="shared" si="2"/>
        <v/>
      </c>
      <c r="T846" s="37" t="str">
        <f t="shared" si="3"/>
        <v/>
      </c>
      <c r="U846" s="38" t="str">
        <f t="shared" si="4"/>
        <v/>
      </c>
      <c r="V846" s="31" t="str">
        <f t="shared" si="5"/>
        <v/>
      </c>
      <c r="W846" s="39" t="str">
        <f>IFERROR(__xludf.DUMMYFUNCTION(" IF(Account!$F846&lt;&gt;"""", SPLIT(Account!$F846, "" ""), """")"),"")</f>
        <v/>
      </c>
      <c r="X846" s="40"/>
      <c r="Y846" s="40"/>
      <c r="Z846" s="40"/>
      <c r="AA846" s="40"/>
      <c r="AB846" s="40"/>
      <c r="AC846" s="40"/>
      <c r="AD846" s="40"/>
      <c r="AE846" s="40"/>
      <c r="AF846" s="40"/>
      <c r="AG846" s="40"/>
      <c r="AH846" s="40"/>
      <c r="AI846" s="40"/>
      <c r="AJ846" s="40"/>
      <c r="AK846" s="40"/>
    </row>
    <row r="847">
      <c r="A847" s="300"/>
      <c r="B847" s="300"/>
      <c r="C847" s="300"/>
      <c r="D847" s="300"/>
      <c r="E847" s="300"/>
      <c r="F847" s="329"/>
      <c r="G847" s="300"/>
      <c r="H847" s="300"/>
      <c r="I847" s="300"/>
      <c r="J847" s="300"/>
      <c r="K847" s="300"/>
      <c r="L847" s="329"/>
      <c r="M847" s="29" t="str">
        <f t="shared" si="1"/>
        <v/>
      </c>
      <c r="N847" s="31" t="str">
        <f>IFERROR(__xludf.DUMMYFUNCTION("IF(Account!$F847&lt;&gt;"""", VALUE(REGEXREPLACE($I847, ""\,"", ""."")), """")"),"")</f>
        <v/>
      </c>
      <c r="O847" s="33" t="str">
        <f>IF(Account!$F847&lt;&gt;"", DATEVALUE(MID($A847,4,3) &amp; LEFT($A847,3) &amp; RIGHT($A847,4)) + TIMEVALUE($B847), "")</f>
        <v/>
      </c>
      <c r="P847" s="34" t="str">
        <f>IF(Account!$F847&lt;&gt;"", DATEVALUE(MID($C847,4,3) &amp; LEFT($C847,3) &amp; RIGHT($C847,4)), "")</f>
        <v/>
      </c>
      <c r="Q847" s="35" t="str">
        <f t="array" ref="Q847">IF($R847&lt;&gt;"",IFERROR(INDEX(Investment!$A:$A,MATCH($R847,Investment!$H:$H,0))),)</f>
        <v/>
      </c>
      <c r="R847" s="36" t="str">
        <f t="array" ref="R847">IF(AND($Y847="change",$H847="EUR"),IF(AND($AA847="Crédit",$O847=$O848),$R848,IF(AND($AA847="Débit",$O847=$O846),$R846)),IF(OR(AND(OR($E847&lt;&gt;"",$M847=""),$N847&lt;&gt;0),$A847=""),IFERROR(INDEX(Investment!$H:$H,MATCH($E847,Investment!$F:$F,0))),IFERROR(INDEX($R848:$R1119,MATCH(SUBSTITUTE($I847,"-","",1),$K848:$K1119,0)),INDEX($R848:$R1119,MATCH($K847,$K848:$K1119,0)))))</f>
        <v/>
      </c>
      <c r="S847" s="35" t="str">
        <f t="shared" si="2"/>
        <v/>
      </c>
      <c r="T847" s="37" t="str">
        <f t="shared" si="3"/>
        <v/>
      </c>
      <c r="U847" s="38" t="str">
        <f t="shared" si="4"/>
        <v/>
      </c>
      <c r="V847" s="31" t="str">
        <f t="shared" si="5"/>
        <v/>
      </c>
      <c r="W847" s="39" t="str">
        <f>IFERROR(__xludf.DUMMYFUNCTION(" IF(Account!$F847&lt;&gt;"""", SPLIT(Account!$F847, "" ""), """")"),"")</f>
        <v/>
      </c>
      <c r="X847" s="40"/>
      <c r="Y847" s="40"/>
      <c r="Z847" s="40"/>
      <c r="AA847" s="40"/>
      <c r="AB847" s="40"/>
      <c r="AC847" s="40"/>
      <c r="AD847" s="40"/>
      <c r="AE847" s="40"/>
      <c r="AF847" s="40"/>
      <c r="AG847" s="40"/>
      <c r="AH847" s="40"/>
      <c r="AI847" s="40"/>
      <c r="AJ847" s="40"/>
      <c r="AK847" s="40"/>
    </row>
    <row r="848">
      <c r="A848" s="300"/>
      <c r="B848" s="300"/>
      <c r="C848" s="300"/>
      <c r="D848" s="300"/>
      <c r="E848" s="300"/>
      <c r="F848" s="329"/>
      <c r="G848" s="300"/>
      <c r="H848" s="300"/>
      <c r="I848" s="300"/>
      <c r="J848" s="300"/>
      <c r="K848" s="300"/>
      <c r="L848" s="329"/>
      <c r="M848" s="29" t="str">
        <f t="shared" si="1"/>
        <v/>
      </c>
      <c r="N848" s="31" t="str">
        <f>IFERROR(__xludf.DUMMYFUNCTION("IF(Account!$F848&lt;&gt;"""", VALUE(REGEXREPLACE($I848, ""\,"", ""."")), """")"),"")</f>
        <v/>
      </c>
      <c r="O848" s="33" t="str">
        <f>IF(Account!$F848&lt;&gt;"", DATEVALUE(MID($A848,4,3) &amp; LEFT($A848,3) &amp; RIGHT($A848,4)) + TIMEVALUE($B848), "")</f>
        <v/>
      </c>
      <c r="P848" s="34" t="str">
        <f>IF(Account!$F848&lt;&gt;"", DATEVALUE(MID($C848,4,3) &amp; LEFT($C848,3) &amp; RIGHT($C848,4)), "")</f>
        <v/>
      </c>
      <c r="Q848" s="35" t="str">
        <f t="array" ref="Q848">IF($R848&lt;&gt;"",IFERROR(INDEX(Investment!$A:$A,MATCH($R848,Investment!$H:$H,0))),)</f>
        <v/>
      </c>
      <c r="R848" s="36" t="str">
        <f t="array" ref="R848">IF(AND($Y848="change",$H848="EUR"),IF(AND($AA848="Crédit",$O848=$O849),$R849,IF(AND($AA848="Débit",$O848=$O847),$R847)),IF(OR(AND(OR($E848&lt;&gt;"",$M848=""),$N848&lt;&gt;0),$A848=""),IFERROR(INDEX(Investment!$H:$H,MATCH($E848,Investment!$F:$F,0))),IFERROR(INDEX($R849:$R1119,MATCH(SUBSTITUTE($I848,"-","",1),$K849:$K1119,0)),INDEX($R849:$R1119,MATCH($K848,$K849:$K1119,0)))))</f>
        <v/>
      </c>
      <c r="S848" s="35" t="str">
        <f t="shared" si="2"/>
        <v/>
      </c>
      <c r="T848" s="37" t="str">
        <f t="shared" si="3"/>
        <v/>
      </c>
      <c r="U848" s="38" t="str">
        <f t="shared" si="4"/>
        <v/>
      </c>
      <c r="V848" s="31" t="str">
        <f t="shared" si="5"/>
        <v/>
      </c>
      <c r="W848" s="39" t="str">
        <f>IFERROR(__xludf.DUMMYFUNCTION(" IF(Account!$F848&lt;&gt;"""", SPLIT(Account!$F848, "" ""), """")"),"")</f>
        <v/>
      </c>
      <c r="X848" s="40"/>
      <c r="Y848" s="40"/>
      <c r="Z848" s="40"/>
      <c r="AA848" s="40"/>
      <c r="AB848" s="40"/>
      <c r="AC848" s="40"/>
      <c r="AD848" s="40"/>
      <c r="AE848" s="40"/>
      <c r="AF848" s="40"/>
      <c r="AG848" s="40"/>
      <c r="AH848" s="40"/>
      <c r="AI848" s="40"/>
      <c r="AJ848" s="40"/>
      <c r="AK848" s="40"/>
    </row>
    <row r="849">
      <c r="A849" s="300"/>
      <c r="B849" s="300"/>
      <c r="C849" s="300"/>
      <c r="D849" s="300"/>
      <c r="E849" s="300"/>
      <c r="F849" s="329"/>
      <c r="G849" s="300"/>
      <c r="H849" s="300"/>
      <c r="I849" s="300"/>
      <c r="J849" s="300"/>
      <c r="K849" s="300"/>
      <c r="L849" s="329"/>
      <c r="M849" s="29" t="str">
        <f t="shared" si="1"/>
        <v/>
      </c>
      <c r="N849" s="31" t="str">
        <f>IFERROR(__xludf.DUMMYFUNCTION("IF(Account!$F849&lt;&gt;"""", VALUE(REGEXREPLACE($I849, ""\,"", ""."")), """")"),"")</f>
        <v/>
      </c>
      <c r="O849" s="33" t="str">
        <f>IF(Account!$F849&lt;&gt;"", DATEVALUE(MID($A849,4,3) &amp; LEFT($A849,3) &amp; RIGHT($A849,4)) + TIMEVALUE($B849), "")</f>
        <v/>
      </c>
      <c r="P849" s="34" t="str">
        <f>IF(Account!$F849&lt;&gt;"", DATEVALUE(MID($C849,4,3) &amp; LEFT($C849,3) &amp; RIGHT($C849,4)), "")</f>
        <v/>
      </c>
      <c r="Q849" s="35" t="str">
        <f t="array" ref="Q849">IF($R849&lt;&gt;"",IFERROR(INDEX(Investment!$A:$A,MATCH($R849,Investment!$H:$H,0))),)</f>
        <v/>
      </c>
      <c r="R849" s="36" t="str">
        <f t="array" ref="R849">IF(AND($Y849="change",$H849="EUR"),IF(AND($AA849="Crédit",$O849=$O850),$R850,IF(AND($AA849="Débit",$O849=$O848),$R848)),IF(OR(AND(OR($E849&lt;&gt;"",$M849=""),$N849&lt;&gt;0),$A849=""),IFERROR(INDEX(Investment!$H:$H,MATCH($E849,Investment!$F:$F,0))),IFERROR(INDEX($R850:$R1119,MATCH(SUBSTITUTE($I849,"-","",1),$K850:$K1119,0)),INDEX($R850:$R1119,MATCH($K849,$K850:$K1119,0)))))</f>
        <v/>
      </c>
      <c r="S849" s="35" t="str">
        <f t="shared" si="2"/>
        <v/>
      </c>
      <c r="T849" s="37" t="str">
        <f t="shared" si="3"/>
        <v/>
      </c>
      <c r="U849" s="38" t="str">
        <f t="shared" si="4"/>
        <v/>
      </c>
      <c r="V849" s="31" t="str">
        <f t="shared" si="5"/>
        <v/>
      </c>
      <c r="W849" s="39" t="str">
        <f>IFERROR(__xludf.DUMMYFUNCTION(" IF(Account!$F849&lt;&gt;"""", SPLIT(Account!$F849, "" ""), """")"),"")</f>
        <v/>
      </c>
      <c r="X849" s="40"/>
      <c r="Y849" s="40"/>
      <c r="Z849" s="40"/>
      <c r="AA849" s="40"/>
      <c r="AB849" s="40"/>
      <c r="AC849" s="40"/>
      <c r="AD849" s="40"/>
      <c r="AE849" s="40"/>
      <c r="AF849" s="40"/>
      <c r="AG849" s="40"/>
      <c r="AH849" s="40"/>
      <c r="AI849" s="40"/>
      <c r="AJ849" s="40"/>
      <c r="AK849" s="40"/>
    </row>
    <row r="850">
      <c r="A850" s="300"/>
      <c r="B850" s="300"/>
      <c r="C850" s="300"/>
      <c r="D850" s="300"/>
      <c r="E850" s="300"/>
      <c r="F850" s="329"/>
      <c r="G850" s="300"/>
      <c r="H850" s="300"/>
      <c r="I850" s="300"/>
      <c r="J850" s="300"/>
      <c r="K850" s="300"/>
      <c r="L850" s="329"/>
      <c r="M850" s="29" t="str">
        <f t="shared" si="1"/>
        <v/>
      </c>
      <c r="N850" s="31" t="str">
        <f>IFERROR(__xludf.DUMMYFUNCTION("IF(Account!$F850&lt;&gt;"""", VALUE(REGEXREPLACE($I850, ""\,"", ""."")), """")"),"")</f>
        <v/>
      </c>
      <c r="O850" s="33" t="str">
        <f>IF(Account!$F850&lt;&gt;"", DATEVALUE(MID($A850,4,3) &amp; LEFT($A850,3) &amp; RIGHT($A850,4)) + TIMEVALUE($B850), "")</f>
        <v/>
      </c>
      <c r="P850" s="34" t="str">
        <f>IF(Account!$F850&lt;&gt;"", DATEVALUE(MID($C850,4,3) &amp; LEFT($C850,3) &amp; RIGHT($C850,4)), "")</f>
        <v/>
      </c>
      <c r="Q850" s="35" t="str">
        <f t="array" ref="Q850">IF($R850&lt;&gt;"",IFERROR(INDEX(Investment!$A:$A,MATCH($R850,Investment!$H:$H,0))),)</f>
        <v/>
      </c>
      <c r="R850" s="36" t="str">
        <f t="array" ref="R850">IF(AND($Y850="change",$H850="EUR"),IF(AND($AA850="Crédit",$O850=$O851),$R851,IF(AND($AA850="Débit",$O850=$O849),$R849)),IF(OR(AND(OR($E850&lt;&gt;"",$M850=""),$N850&lt;&gt;0),$A850=""),IFERROR(INDEX(Investment!$H:$H,MATCH($E850,Investment!$F:$F,0))),IFERROR(INDEX($R851:$R1119,MATCH(SUBSTITUTE($I850,"-","",1),$K851:$K1119,0)),INDEX($R851:$R1119,MATCH($K850,$K851:$K1119,0)))))</f>
        <v/>
      </c>
      <c r="S850" s="35" t="str">
        <f t="shared" si="2"/>
        <v/>
      </c>
      <c r="T850" s="37" t="str">
        <f t="shared" si="3"/>
        <v/>
      </c>
      <c r="U850" s="38" t="str">
        <f t="shared" si="4"/>
        <v/>
      </c>
      <c r="V850" s="31" t="str">
        <f t="shared" si="5"/>
        <v/>
      </c>
      <c r="W850" s="39" t="str">
        <f>IFERROR(__xludf.DUMMYFUNCTION(" IF(Account!$F850&lt;&gt;"""", SPLIT(Account!$F850, "" ""), """")"),"")</f>
        <v/>
      </c>
      <c r="X850" s="40"/>
      <c r="Y850" s="40"/>
      <c r="Z850" s="40"/>
      <c r="AA850" s="40"/>
      <c r="AB850" s="40"/>
      <c r="AC850" s="40"/>
      <c r="AD850" s="40"/>
      <c r="AE850" s="40"/>
      <c r="AF850" s="40"/>
      <c r="AG850" s="40"/>
      <c r="AH850" s="40"/>
      <c r="AI850" s="40"/>
      <c r="AJ850" s="40"/>
      <c r="AK850" s="40"/>
    </row>
    <row r="851">
      <c r="A851" s="300"/>
      <c r="B851" s="300"/>
      <c r="C851" s="300"/>
      <c r="D851" s="300"/>
      <c r="E851" s="300"/>
      <c r="F851" s="329"/>
      <c r="G851" s="300"/>
      <c r="H851" s="300"/>
      <c r="I851" s="300"/>
      <c r="J851" s="300"/>
      <c r="K851" s="300"/>
      <c r="L851" s="329"/>
      <c r="M851" s="29" t="str">
        <f t="shared" si="1"/>
        <v/>
      </c>
      <c r="N851" s="31" t="str">
        <f>IFERROR(__xludf.DUMMYFUNCTION("IF(Account!$F851&lt;&gt;"""", VALUE(REGEXREPLACE($I851, ""\,"", ""."")), """")"),"")</f>
        <v/>
      </c>
      <c r="O851" s="33" t="str">
        <f>IF(Account!$F851&lt;&gt;"", DATEVALUE(MID($A851,4,3) &amp; LEFT($A851,3) &amp; RIGHT($A851,4)) + TIMEVALUE($B851), "")</f>
        <v/>
      </c>
      <c r="P851" s="34" t="str">
        <f>IF(Account!$F851&lt;&gt;"", DATEVALUE(MID($C851,4,3) &amp; LEFT($C851,3) &amp; RIGHT($C851,4)), "")</f>
        <v/>
      </c>
      <c r="Q851" s="35" t="str">
        <f t="array" ref="Q851">IF($R851&lt;&gt;"",IFERROR(INDEX(Investment!$A:$A,MATCH($R851,Investment!$H:$H,0))),)</f>
        <v/>
      </c>
      <c r="R851" s="36" t="str">
        <f t="array" ref="R851">IF(AND($Y851="change",$H851="EUR"),IF(AND($AA851="Crédit",$O851=$O852),$R852,IF(AND($AA851="Débit",$O851=$O850),$R850)),IF(OR(AND(OR($E851&lt;&gt;"",$M851=""),$N851&lt;&gt;0),$A851=""),IFERROR(INDEX(Investment!$H:$H,MATCH($E851,Investment!$F:$F,0))),IFERROR(INDEX($R852:$R1119,MATCH(SUBSTITUTE($I851,"-","",1),$K852:$K1119,0)),INDEX($R852:$R1119,MATCH($K851,$K852:$K1119,0)))))</f>
        <v/>
      </c>
      <c r="S851" s="35" t="str">
        <f t="shared" si="2"/>
        <v/>
      </c>
      <c r="T851" s="37" t="str">
        <f t="shared" si="3"/>
        <v/>
      </c>
      <c r="U851" s="38" t="str">
        <f t="shared" si="4"/>
        <v/>
      </c>
      <c r="V851" s="31" t="str">
        <f t="shared" si="5"/>
        <v/>
      </c>
      <c r="W851" s="39" t="str">
        <f>IFERROR(__xludf.DUMMYFUNCTION(" IF(Account!$F851&lt;&gt;"""", SPLIT(Account!$F851, "" ""), """")"),"")</f>
        <v/>
      </c>
      <c r="X851" s="40"/>
      <c r="Y851" s="40"/>
      <c r="Z851" s="40"/>
      <c r="AA851" s="40"/>
      <c r="AB851" s="40"/>
      <c r="AC851" s="40"/>
      <c r="AD851" s="40"/>
      <c r="AE851" s="40"/>
      <c r="AF851" s="40"/>
      <c r="AG851" s="40"/>
      <c r="AH851" s="40"/>
      <c r="AI851" s="40"/>
      <c r="AJ851" s="40"/>
      <c r="AK851" s="40"/>
    </row>
    <row r="852">
      <c r="A852" s="300"/>
      <c r="B852" s="300"/>
      <c r="C852" s="300"/>
      <c r="D852" s="300"/>
      <c r="E852" s="300"/>
      <c r="F852" s="329"/>
      <c r="G852" s="300"/>
      <c r="H852" s="300"/>
      <c r="I852" s="300"/>
      <c r="J852" s="300"/>
      <c r="K852" s="300"/>
      <c r="L852" s="329"/>
      <c r="M852" s="29" t="str">
        <f t="shared" si="1"/>
        <v/>
      </c>
      <c r="N852" s="31" t="str">
        <f>IFERROR(__xludf.DUMMYFUNCTION("IF(Account!$F852&lt;&gt;"""", VALUE(REGEXREPLACE($I852, ""\,"", ""."")), """")"),"")</f>
        <v/>
      </c>
      <c r="O852" s="33" t="str">
        <f>IF(Account!$F852&lt;&gt;"", DATEVALUE(MID($A852,4,3) &amp; LEFT($A852,3) &amp; RIGHT($A852,4)) + TIMEVALUE($B852), "")</f>
        <v/>
      </c>
      <c r="P852" s="34" t="str">
        <f>IF(Account!$F852&lt;&gt;"", DATEVALUE(MID($C852,4,3) &amp; LEFT($C852,3) &amp; RIGHT($C852,4)), "")</f>
        <v/>
      </c>
      <c r="Q852" s="35" t="str">
        <f t="array" ref="Q852">IF($R852&lt;&gt;"",IFERROR(INDEX(Investment!$A:$A,MATCH($R852,Investment!$H:$H,0))),)</f>
        <v/>
      </c>
      <c r="R852" s="36" t="str">
        <f t="array" ref="R852">IF(AND($Y852="change",$H852="EUR"),IF(AND($AA852="Crédit",$O852=$O853),$R853,IF(AND($AA852="Débit",$O852=$O851),$R851)),IF(OR(AND(OR($E852&lt;&gt;"",$M852=""),$N852&lt;&gt;0),$A852=""),IFERROR(INDEX(Investment!$H:$H,MATCH($E852,Investment!$F:$F,0))),IFERROR(INDEX($R853:$R1119,MATCH(SUBSTITUTE($I852,"-","",1),$K853:$K1119,0)),INDEX($R853:$R1119,MATCH($K852,$K853:$K1119,0)))))</f>
        <v/>
      </c>
      <c r="S852" s="35" t="str">
        <f t="shared" si="2"/>
        <v/>
      </c>
      <c r="T852" s="37" t="str">
        <f t="shared" si="3"/>
        <v/>
      </c>
      <c r="U852" s="38" t="str">
        <f t="shared" si="4"/>
        <v/>
      </c>
      <c r="V852" s="31" t="str">
        <f t="shared" si="5"/>
        <v/>
      </c>
      <c r="W852" s="39" t="str">
        <f>IFERROR(__xludf.DUMMYFUNCTION(" IF(Account!$F852&lt;&gt;"""", SPLIT(Account!$F852, "" ""), """")"),"")</f>
        <v/>
      </c>
      <c r="X852" s="40"/>
      <c r="Y852" s="40"/>
      <c r="Z852" s="40"/>
      <c r="AA852" s="40"/>
      <c r="AB852" s="40"/>
      <c r="AC852" s="40"/>
      <c r="AD852" s="40"/>
      <c r="AE852" s="40"/>
      <c r="AF852" s="40"/>
      <c r="AG852" s="40"/>
      <c r="AH852" s="40"/>
      <c r="AI852" s="40"/>
      <c r="AJ852" s="40"/>
      <c r="AK852" s="40"/>
    </row>
    <row r="853">
      <c r="A853" s="300"/>
      <c r="B853" s="300"/>
      <c r="C853" s="300"/>
      <c r="D853" s="300"/>
      <c r="E853" s="300"/>
      <c r="F853" s="329"/>
      <c r="G853" s="300"/>
      <c r="H853" s="300"/>
      <c r="I853" s="300"/>
      <c r="J853" s="300"/>
      <c r="K853" s="300"/>
      <c r="L853" s="329"/>
      <c r="M853" s="29" t="str">
        <f t="shared" si="1"/>
        <v/>
      </c>
      <c r="N853" s="31" t="str">
        <f>IFERROR(__xludf.DUMMYFUNCTION("IF(Account!$F853&lt;&gt;"""", VALUE(REGEXREPLACE($I853, ""\,"", ""."")), """")"),"")</f>
        <v/>
      </c>
      <c r="O853" s="33" t="str">
        <f>IF(Account!$F853&lt;&gt;"", DATEVALUE(MID($A853,4,3) &amp; LEFT($A853,3) &amp; RIGHT($A853,4)) + TIMEVALUE($B853), "")</f>
        <v/>
      </c>
      <c r="P853" s="34" t="str">
        <f>IF(Account!$F853&lt;&gt;"", DATEVALUE(MID($C853,4,3) &amp; LEFT($C853,3) &amp; RIGHT($C853,4)), "")</f>
        <v/>
      </c>
      <c r="Q853" s="35" t="str">
        <f t="array" ref="Q853">IF($R853&lt;&gt;"",IFERROR(INDEX(Investment!$A:$A,MATCH($R853,Investment!$H:$H,0))),)</f>
        <v/>
      </c>
      <c r="R853" s="36" t="str">
        <f t="array" ref="R853">IF(AND($Y853="change",$H853="EUR"),IF(AND($AA853="Crédit",$O853=$O854),$R854,IF(AND($AA853="Débit",$O853=$O852),$R852)),IF(OR(AND(OR($E853&lt;&gt;"",$M853=""),$N853&lt;&gt;0),$A853=""),IFERROR(INDEX(Investment!$H:$H,MATCH($E853,Investment!$F:$F,0))),IFERROR(INDEX($R854:$R1119,MATCH(SUBSTITUTE($I853,"-","",1),$K854:$K1119,0)),INDEX($R854:$R1119,MATCH($K853,$K854:$K1119,0)))))</f>
        <v/>
      </c>
      <c r="S853" s="35" t="str">
        <f t="shared" si="2"/>
        <v/>
      </c>
      <c r="T853" s="37" t="str">
        <f t="shared" si="3"/>
        <v/>
      </c>
      <c r="U853" s="38" t="str">
        <f t="shared" si="4"/>
        <v/>
      </c>
      <c r="V853" s="31" t="str">
        <f t="shared" si="5"/>
        <v/>
      </c>
      <c r="W853" s="39" t="str">
        <f>IFERROR(__xludf.DUMMYFUNCTION(" IF(Account!$F853&lt;&gt;"""", SPLIT(Account!$F853, "" ""), """")"),"")</f>
        <v/>
      </c>
      <c r="X853" s="40"/>
      <c r="Y853" s="40"/>
      <c r="Z853" s="40"/>
      <c r="AA853" s="40"/>
      <c r="AB853" s="40"/>
      <c r="AC853" s="40"/>
      <c r="AD853" s="40"/>
      <c r="AE853" s="40"/>
      <c r="AF853" s="40"/>
      <c r="AG853" s="40"/>
      <c r="AH853" s="40"/>
      <c r="AI853" s="40"/>
      <c r="AJ853" s="40"/>
      <c r="AK853" s="40"/>
    </row>
    <row r="854">
      <c r="A854" s="300"/>
      <c r="B854" s="300"/>
      <c r="C854" s="300"/>
      <c r="D854" s="300"/>
      <c r="E854" s="300"/>
      <c r="F854" s="329"/>
      <c r="G854" s="300"/>
      <c r="H854" s="300"/>
      <c r="I854" s="300"/>
      <c r="J854" s="300"/>
      <c r="K854" s="300"/>
      <c r="L854" s="329"/>
      <c r="M854" s="29" t="str">
        <f t="shared" si="1"/>
        <v/>
      </c>
      <c r="N854" s="31" t="str">
        <f>IFERROR(__xludf.DUMMYFUNCTION("IF(Account!$F854&lt;&gt;"""", VALUE(REGEXREPLACE($I854, ""\,"", ""."")), """")"),"")</f>
        <v/>
      </c>
      <c r="O854" s="33" t="str">
        <f>IF(Account!$F854&lt;&gt;"", DATEVALUE(MID($A854,4,3) &amp; LEFT($A854,3) &amp; RIGHT($A854,4)) + TIMEVALUE($B854), "")</f>
        <v/>
      </c>
      <c r="P854" s="34" t="str">
        <f>IF(Account!$F854&lt;&gt;"", DATEVALUE(MID($C854,4,3) &amp; LEFT($C854,3) &amp; RIGHT($C854,4)), "")</f>
        <v/>
      </c>
      <c r="Q854" s="35" t="str">
        <f t="array" ref="Q854">IF($R854&lt;&gt;"",IFERROR(INDEX(Investment!$A:$A,MATCH($R854,Investment!$H:$H,0))),)</f>
        <v/>
      </c>
      <c r="R854" s="36" t="str">
        <f t="array" ref="R854">IF(AND($Y854="change",$H854="EUR"),IF(AND($AA854="Crédit",$O854=$O855),$R855,IF(AND($AA854="Débit",$O854=$O853),$R853)),IF(OR(AND(OR($E854&lt;&gt;"",$M854=""),$N854&lt;&gt;0),$A854=""),IFERROR(INDEX(Investment!$H:$H,MATCH($E854,Investment!$F:$F,0))),IFERROR(INDEX($R855:$R1119,MATCH(SUBSTITUTE($I854,"-","",1),$K855:$K1119,0)),INDEX($R855:$R1119,MATCH($K854,$K855:$K1119,0)))))</f>
        <v/>
      </c>
      <c r="S854" s="35" t="str">
        <f t="shared" si="2"/>
        <v/>
      </c>
      <c r="T854" s="37" t="str">
        <f t="shared" si="3"/>
        <v/>
      </c>
      <c r="U854" s="38" t="str">
        <f t="shared" si="4"/>
        <v/>
      </c>
      <c r="V854" s="31" t="str">
        <f t="shared" si="5"/>
        <v/>
      </c>
      <c r="W854" s="39" t="str">
        <f>IFERROR(__xludf.DUMMYFUNCTION(" IF(Account!$F854&lt;&gt;"""", SPLIT(Account!$F854, "" ""), """")"),"")</f>
        <v/>
      </c>
      <c r="X854" s="40"/>
      <c r="Y854" s="40"/>
      <c r="Z854" s="40"/>
      <c r="AA854" s="40"/>
      <c r="AB854" s="40"/>
      <c r="AC854" s="40"/>
      <c r="AD854" s="40"/>
      <c r="AE854" s="40"/>
      <c r="AF854" s="40"/>
      <c r="AG854" s="40"/>
      <c r="AH854" s="40"/>
      <c r="AI854" s="40"/>
      <c r="AJ854" s="40"/>
      <c r="AK854" s="40"/>
    </row>
    <row r="855">
      <c r="A855" s="300"/>
      <c r="B855" s="300"/>
      <c r="C855" s="300"/>
      <c r="D855" s="300"/>
      <c r="E855" s="300"/>
      <c r="F855" s="329"/>
      <c r="G855" s="300"/>
      <c r="H855" s="300"/>
      <c r="I855" s="300"/>
      <c r="J855" s="300"/>
      <c r="K855" s="300"/>
      <c r="L855" s="329"/>
      <c r="M855" s="29" t="str">
        <f t="shared" si="1"/>
        <v/>
      </c>
      <c r="N855" s="31" t="str">
        <f>IFERROR(__xludf.DUMMYFUNCTION("IF(Account!$F855&lt;&gt;"""", VALUE(REGEXREPLACE($I855, ""\,"", ""."")), """")"),"")</f>
        <v/>
      </c>
      <c r="O855" s="33" t="str">
        <f>IF(Account!$F855&lt;&gt;"", DATEVALUE(MID($A855,4,3) &amp; LEFT($A855,3) &amp; RIGHT($A855,4)) + TIMEVALUE($B855), "")</f>
        <v/>
      </c>
      <c r="P855" s="34" t="str">
        <f>IF(Account!$F855&lt;&gt;"", DATEVALUE(MID($C855,4,3) &amp; LEFT($C855,3) &amp; RIGHT($C855,4)), "")</f>
        <v/>
      </c>
      <c r="Q855" s="35" t="str">
        <f t="array" ref="Q855">IF($R855&lt;&gt;"",IFERROR(INDEX(Investment!$A:$A,MATCH($R855,Investment!$H:$H,0))),)</f>
        <v/>
      </c>
      <c r="R855" s="36" t="str">
        <f t="array" ref="R855">IF(AND($Y855="change",$H855="EUR"),IF(AND($AA855="Crédit",$O855=$O856),$R856,IF(AND($AA855="Débit",$O855=$O854),$R854)),IF(OR(AND(OR($E855&lt;&gt;"",$M855=""),$N855&lt;&gt;0),$A855=""),IFERROR(INDEX(Investment!$H:$H,MATCH($E855,Investment!$F:$F,0))),IFERROR(INDEX($R856:$R1119,MATCH(SUBSTITUTE($I855,"-","",1),$K856:$K1119,0)),INDEX($R856:$R1119,MATCH($K855,$K856:$K1119,0)))))</f>
        <v/>
      </c>
      <c r="S855" s="35" t="str">
        <f t="shared" si="2"/>
        <v/>
      </c>
      <c r="T855" s="37" t="str">
        <f t="shared" si="3"/>
        <v/>
      </c>
      <c r="U855" s="38" t="str">
        <f t="shared" si="4"/>
        <v/>
      </c>
      <c r="V855" s="31" t="str">
        <f t="shared" si="5"/>
        <v/>
      </c>
      <c r="W855" s="39" t="str">
        <f>IFERROR(__xludf.DUMMYFUNCTION(" IF(Account!$F855&lt;&gt;"""", SPLIT(Account!$F855, "" ""), """")"),"")</f>
        <v/>
      </c>
      <c r="X855" s="40"/>
      <c r="Y855" s="40"/>
      <c r="Z855" s="40"/>
      <c r="AA855" s="40"/>
      <c r="AB855" s="40"/>
      <c r="AC855" s="40"/>
      <c r="AD855" s="40"/>
      <c r="AE855" s="40"/>
      <c r="AF855" s="40"/>
      <c r="AG855" s="40"/>
      <c r="AH855" s="40"/>
      <c r="AI855" s="40"/>
      <c r="AJ855" s="40"/>
      <c r="AK855" s="40"/>
    </row>
    <row r="856">
      <c r="A856" s="300"/>
      <c r="B856" s="300"/>
      <c r="C856" s="300"/>
      <c r="D856" s="300"/>
      <c r="E856" s="300"/>
      <c r="F856" s="329"/>
      <c r="G856" s="300"/>
      <c r="H856" s="300"/>
      <c r="I856" s="300"/>
      <c r="J856" s="300"/>
      <c r="K856" s="300"/>
      <c r="L856" s="329"/>
      <c r="M856" s="29" t="str">
        <f t="shared" si="1"/>
        <v/>
      </c>
      <c r="N856" s="31" t="str">
        <f>IFERROR(__xludf.DUMMYFUNCTION("IF(Account!$F856&lt;&gt;"""", VALUE(REGEXREPLACE($I856, ""\,"", ""."")), """")"),"")</f>
        <v/>
      </c>
      <c r="O856" s="33" t="str">
        <f>IF(Account!$F856&lt;&gt;"", DATEVALUE(MID($A856,4,3) &amp; LEFT($A856,3) &amp; RIGHT($A856,4)) + TIMEVALUE($B856), "")</f>
        <v/>
      </c>
      <c r="P856" s="34" t="str">
        <f>IF(Account!$F856&lt;&gt;"", DATEVALUE(MID($C856,4,3) &amp; LEFT($C856,3) &amp; RIGHT($C856,4)), "")</f>
        <v/>
      </c>
      <c r="Q856" s="35" t="str">
        <f t="array" ref="Q856">IF($R856&lt;&gt;"",IFERROR(INDEX(Investment!$A:$A,MATCH($R856,Investment!$H:$H,0))),)</f>
        <v/>
      </c>
      <c r="R856" s="36" t="str">
        <f t="array" ref="R856">IF(AND($Y856="change",$H856="EUR"),IF(AND($AA856="Crédit",$O856=$O857),$R857,IF(AND($AA856="Débit",$O856=$O855),$R855)),IF(OR(AND(OR($E856&lt;&gt;"",$M856=""),$N856&lt;&gt;0),$A856=""),IFERROR(INDEX(Investment!$H:$H,MATCH($E856,Investment!$F:$F,0))),IFERROR(INDEX($R857:$R1119,MATCH(SUBSTITUTE($I856,"-","",1),$K857:$K1119,0)),INDEX($R857:$R1119,MATCH($K856,$K857:$K1119,0)))))</f>
        <v/>
      </c>
      <c r="S856" s="35" t="str">
        <f t="shared" si="2"/>
        <v/>
      </c>
      <c r="T856" s="37" t="str">
        <f t="shared" si="3"/>
        <v/>
      </c>
      <c r="U856" s="38" t="str">
        <f t="shared" si="4"/>
        <v/>
      </c>
      <c r="V856" s="31" t="str">
        <f t="shared" si="5"/>
        <v/>
      </c>
      <c r="W856" s="39" t="str">
        <f>IFERROR(__xludf.DUMMYFUNCTION(" IF(Account!$F856&lt;&gt;"""", SPLIT(Account!$F856, "" ""), """")"),"")</f>
        <v/>
      </c>
      <c r="X856" s="40"/>
      <c r="Y856" s="40"/>
      <c r="Z856" s="40"/>
      <c r="AA856" s="40"/>
      <c r="AB856" s="40"/>
      <c r="AC856" s="40"/>
      <c r="AD856" s="40"/>
      <c r="AE856" s="40"/>
      <c r="AF856" s="40"/>
      <c r="AG856" s="40"/>
      <c r="AH856" s="40"/>
      <c r="AI856" s="40"/>
      <c r="AJ856" s="40"/>
      <c r="AK856" s="40"/>
    </row>
    <row r="857">
      <c r="A857" s="300"/>
      <c r="B857" s="300"/>
      <c r="C857" s="300"/>
      <c r="D857" s="300"/>
      <c r="E857" s="300"/>
      <c r="F857" s="329"/>
      <c r="G857" s="300"/>
      <c r="H857" s="300"/>
      <c r="I857" s="300"/>
      <c r="J857" s="300"/>
      <c r="K857" s="300"/>
      <c r="L857" s="329"/>
      <c r="M857" s="29" t="str">
        <f t="shared" si="1"/>
        <v/>
      </c>
      <c r="N857" s="31" t="str">
        <f>IFERROR(__xludf.DUMMYFUNCTION("IF(Account!$F857&lt;&gt;"""", VALUE(REGEXREPLACE($I857, ""\,"", ""."")), """")"),"")</f>
        <v/>
      </c>
      <c r="O857" s="33" t="str">
        <f>IF(Account!$F857&lt;&gt;"", DATEVALUE(MID($A857,4,3) &amp; LEFT($A857,3) &amp; RIGHT($A857,4)) + TIMEVALUE($B857), "")</f>
        <v/>
      </c>
      <c r="P857" s="34" t="str">
        <f>IF(Account!$F857&lt;&gt;"", DATEVALUE(MID($C857,4,3) &amp; LEFT($C857,3) &amp; RIGHT($C857,4)), "")</f>
        <v/>
      </c>
      <c r="Q857" s="35" t="str">
        <f t="array" ref="Q857">IF($R857&lt;&gt;"",IFERROR(INDEX(Investment!$A:$A,MATCH($R857,Investment!$H:$H,0))),)</f>
        <v/>
      </c>
      <c r="R857" s="36" t="str">
        <f t="array" ref="R857">IF(AND($Y857="change",$H857="EUR"),IF(AND($AA857="Crédit",$O857=$O858),$R858,IF(AND($AA857="Débit",$O857=$O856),$R856)),IF(OR(AND(OR($E857&lt;&gt;"",$M857=""),$N857&lt;&gt;0),$A857=""),IFERROR(INDEX(Investment!$H:$H,MATCH($E857,Investment!$F:$F,0))),IFERROR(INDEX($R858:$R1119,MATCH(SUBSTITUTE($I857,"-","",1),$K858:$K1119,0)),INDEX($R858:$R1119,MATCH($K857,$K858:$K1119,0)))))</f>
        <v/>
      </c>
      <c r="S857" s="35" t="str">
        <f t="shared" si="2"/>
        <v/>
      </c>
      <c r="T857" s="37" t="str">
        <f t="shared" si="3"/>
        <v/>
      </c>
      <c r="U857" s="38" t="str">
        <f t="shared" si="4"/>
        <v/>
      </c>
      <c r="V857" s="31" t="str">
        <f t="shared" si="5"/>
        <v/>
      </c>
      <c r="W857" s="39" t="str">
        <f>IFERROR(__xludf.DUMMYFUNCTION(" IF(Account!$F857&lt;&gt;"""", SPLIT(Account!$F857, "" ""), """")"),"")</f>
        <v/>
      </c>
      <c r="X857" s="40"/>
      <c r="Y857" s="40"/>
      <c r="Z857" s="40"/>
      <c r="AA857" s="40"/>
      <c r="AB857" s="40"/>
      <c r="AC857" s="40"/>
      <c r="AD857" s="40"/>
      <c r="AE857" s="40"/>
      <c r="AF857" s="40"/>
      <c r="AG857" s="40"/>
      <c r="AH857" s="40"/>
      <c r="AI857" s="40"/>
      <c r="AJ857" s="40"/>
      <c r="AK857" s="40"/>
    </row>
    <row r="858">
      <c r="A858" s="300"/>
      <c r="B858" s="300"/>
      <c r="C858" s="300"/>
      <c r="D858" s="300"/>
      <c r="E858" s="300"/>
      <c r="F858" s="329"/>
      <c r="G858" s="300"/>
      <c r="H858" s="300"/>
      <c r="I858" s="300"/>
      <c r="J858" s="300"/>
      <c r="K858" s="300"/>
      <c r="L858" s="329"/>
      <c r="M858" s="29" t="str">
        <f t="shared" si="1"/>
        <v/>
      </c>
      <c r="N858" s="31" t="str">
        <f>IFERROR(__xludf.DUMMYFUNCTION("IF(Account!$F858&lt;&gt;"""", VALUE(REGEXREPLACE($I858, ""\,"", ""."")), """")"),"")</f>
        <v/>
      </c>
      <c r="O858" s="33" t="str">
        <f>IF(Account!$F858&lt;&gt;"", DATEVALUE(MID($A858,4,3) &amp; LEFT($A858,3) &amp; RIGHT($A858,4)) + TIMEVALUE($B858), "")</f>
        <v/>
      </c>
      <c r="P858" s="34" t="str">
        <f>IF(Account!$F858&lt;&gt;"", DATEVALUE(MID($C858,4,3) &amp; LEFT($C858,3) &amp; RIGHT($C858,4)), "")</f>
        <v/>
      </c>
      <c r="Q858" s="35" t="str">
        <f t="array" ref="Q858">IF($R858&lt;&gt;"",IFERROR(INDEX(Investment!$A:$A,MATCH($R858,Investment!$H:$H,0))),)</f>
        <v/>
      </c>
      <c r="R858" s="36" t="str">
        <f t="array" ref="R858">IF(AND($Y858="change",$H858="EUR"),IF(AND($AA858="Crédit",$O858=$O859),$R859,IF(AND($AA858="Débit",$O858=$O857),$R857)),IF(OR(AND(OR($E858&lt;&gt;"",$M858=""),$N858&lt;&gt;0),$A858=""),IFERROR(INDEX(Investment!$H:$H,MATCH($E858,Investment!$F:$F,0))),IFERROR(INDEX($R859:$R1119,MATCH(SUBSTITUTE($I858,"-","",1),$K859:$K1119,0)),INDEX($R859:$R1119,MATCH($K858,$K859:$K1119,0)))))</f>
        <v/>
      </c>
      <c r="S858" s="35" t="str">
        <f t="shared" si="2"/>
        <v/>
      </c>
      <c r="T858" s="37" t="str">
        <f t="shared" si="3"/>
        <v/>
      </c>
      <c r="U858" s="38" t="str">
        <f t="shared" si="4"/>
        <v/>
      </c>
      <c r="V858" s="31" t="str">
        <f t="shared" si="5"/>
        <v/>
      </c>
      <c r="W858" s="39" t="str">
        <f>IFERROR(__xludf.DUMMYFUNCTION(" IF(Account!$F858&lt;&gt;"""", SPLIT(Account!$F858, "" ""), """")"),"")</f>
        <v/>
      </c>
      <c r="X858" s="40"/>
      <c r="Y858" s="40"/>
      <c r="Z858" s="40"/>
      <c r="AA858" s="40"/>
      <c r="AB858" s="40"/>
      <c r="AC858" s="40"/>
      <c r="AD858" s="40"/>
      <c r="AE858" s="40"/>
      <c r="AF858" s="40"/>
      <c r="AG858" s="40"/>
      <c r="AH858" s="40"/>
      <c r="AI858" s="40"/>
      <c r="AJ858" s="40"/>
      <c r="AK858" s="40"/>
    </row>
    <row r="859">
      <c r="A859" s="300"/>
      <c r="B859" s="300"/>
      <c r="C859" s="300"/>
      <c r="D859" s="300"/>
      <c r="E859" s="300"/>
      <c r="F859" s="329"/>
      <c r="G859" s="300"/>
      <c r="H859" s="300"/>
      <c r="I859" s="300"/>
      <c r="J859" s="300"/>
      <c r="K859" s="300"/>
      <c r="L859" s="329"/>
      <c r="M859" s="29" t="str">
        <f t="shared" si="1"/>
        <v/>
      </c>
      <c r="N859" s="31" t="str">
        <f>IFERROR(__xludf.DUMMYFUNCTION("IF(Account!$F859&lt;&gt;"""", VALUE(REGEXREPLACE($I859, ""\,"", ""."")), """")"),"")</f>
        <v/>
      </c>
      <c r="O859" s="33" t="str">
        <f>IF(Account!$F859&lt;&gt;"", DATEVALUE(MID($A859,4,3) &amp; LEFT($A859,3) &amp; RIGHT($A859,4)) + TIMEVALUE($B859), "")</f>
        <v/>
      </c>
      <c r="P859" s="34" t="str">
        <f>IF(Account!$F859&lt;&gt;"", DATEVALUE(MID($C859,4,3) &amp; LEFT($C859,3) &amp; RIGHT($C859,4)), "")</f>
        <v/>
      </c>
      <c r="Q859" s="35" t="str">
        <f t="array" ref="Q859">IF($R859&lt;&gt;"",IFERROR(INDEX(Investment!$A:$A,MATCH($R859,Investment!$H:$H,0))),)</f>
        <v/>
      </c>
      <c r="R859" s="36" t="str">
        <f t="array" ref="R859">IF(AND($Y859="change",$H859="EUR"),IF(AND($AA859="Crédit",$O859=$O860),$R860,IF(AND($AA859="Débit",$O859=$O858),$R858)),IF(OR(AND(OR($E859&lt;&gt;"",$M859=""),$N859&lt;&gt;0),$A859=""),IFERROR(INDEX(Investment!$H:$H,MATCH($E859,Investment!$F:$F,0))),IFERROR(INDEX($R860:$R1119,MATCH(SUBSTITUTE($I859,"-","",1),$K860:$K1119,0)),INDEX($R860:$R1119,MATCH($K859,$K860:$K1119,0)))))</f>
        <v/>
      </c>
      <c r="S859" s="35" t="str">
        <f t="shared" si="2"/>
        <v/>
      </c>
      <c r="T859" s="37" t="str">
        <f t="shared" si="3"/>
        <v/>
      </c>
      <c r="U859" s="38" t="str">
        <f t="shared" si="4"/>
        <v/>
      </c>
      <c r="V859" s="31" t="str">
        <f t="shared" si="5"/>
        <v/>
      </c>
      <c r="W859" s="39" t="str">
        <f>IFERROR(__xludf.DUMMYFUNCTION(" IF(Account!$F859&lt;&gt;"""", SPLIT(Account!$F859, "" ""), """")"),"")</f>
        <v/>
      </c>
      <c r="X859" s="40"/>
      <c r="Y859" s="40"/>
      <c r="Z859" s="40"/>
      <c r="AA859" s="40"/>
      <c r="AB859" s="40"/>
      <c r="AC859" s="40"/>
      <c r="AD859" s="40"/>
      <c r="AE859" s="40"/>
      <c r="AF859" s="40"/>
      <c r="AG859" s="40"/>
      <c r="AH859" s="40"/>
      <c r="AI859" s="40"/>
      <c r="AJ859" s="40"/>
      <c r="AK859" s="40"/>
    </row>
    <row r="860">
      <c r="A860" s="300"/>
      <c r="B860" s="300"/>
      <c r="C860" s="300"/>
      <c r="D860" s="300"/>
      <c r="E860" s="300"/>
      <c r="F860" s="329"/>
      <c r="G860" s="300"/>
      <c r="H860" s="300"/>
      <c r="I860" s="300"/>
      <c r="J860" s="300"/>
      <c r="K860" s="300"/>
      <c r="L860" s="329"/>
      <c r="M860" s="29" t="str">
        <f t="shared" si="1"/>
        <v/>
      </c>
      <c r="N860" s="31" t="str">
        <f>IFERROR(__xludf.DUMMYFUNCTION("IF(Account!$F860&lt;&gt;"""", VALUE(REGEXREPLACE($I860, ""\,"", ""."")), """")"),"")</f>
        <v/>
      </c>
      <c r="O860" s="33" t="str">
        <f>IF(Account!$F860&lt;&gt;"", DATEVALUE(MID($A860,4,3) &amp; LEFT($A860,3) &amp; RIGHT($A860,4)) + TIMEVALUE($B860), "")</f>
        <v/>
      </c>
      <c r="P860" s="34" t="str">
        <f>IF(Account!$F860&lt;&gt;"", DATEVALUE(MID($C860,4,3) &amp; LEFT($C860,3) &amp; RIGHT($C860,4)), "")</f>
        <v/>
      </c>
      <c r="Q860" s="35" t="str">
        <f t="array" ref="Q860">IF($R860&lt;&gt;"",IFERROR(INDEX(Investment!$A:$A,MATCH($R860,Investment!$H:$H,0))),)</f>
        <v/>
      </c>
      <c r="R860" s="36" t="str">
        <f t="array" ref="R860">IF(AND($Y860="change",$H860="EUR"),IF(AND($AA860="Crédit",$O860=$O861),$R861,IF(AND($AA860="Débit",$O860=$O859),$R859)),IF(OR(AND(OR($E860&lt;&gt;"",$M860=""),$N860&lt;&gt;0),$A860=""),IFERROR(INDEX(Investment!$H:$H,MATCH($E860,Investment!$F:$F,0))),IFERROR(INDEX($R861:$R1119,MATCH(SUBSTITUTE($I860,"-","",1),$K861:$K1119,0)),INDEX($R861:$R1119,MATCH($K860,$K861:$K1119,0)))))</f>
        <v/>
      </c>
      <c r="S860" s="35" t="str">
        <f t="shared" si="2"/>
        <v/>
      </c>
      <c r="T860" s="37" t="str">
        <f t="shared" si="3"/>
        <v/>
      </c>
      <c r="U860" s="38" t="str">
        <f t="shared" si="4"/>
        <v/>
      </c>
      <c r="V860" s="31" t="str">
        <f t="shared" si="5"/>
        <v/>
      </c>
      <c r="W860" s="39" t="str">
        <f>IFERROR(__xludf.DUMMYFUNCTION(" IF(Account!$F860&lt;&gt;"""", SPLIT(Account!$F860, "" ""), """")"),"")</f>
        <v/>
      </c>
      <c r="X860" s="40"/>
      <c r="Y860" s="40"/>
      <c r="Z860" s="40"/>
      <c r="AA860" s="40"/>
      <c r="AB860" s="40"/>
      <c r="AC860" s="40"/>
      <c r="AD860" s="40"/>
      <c r="AE860" s="40"/>
      <c r="AF860" s="40"/>
      <c r="AG860" s="40"/>
      <c r="AH860" s="40"/>
      <c r="AI860" s="40"/>
      <c r="AJ860" s="40"/>
      <c r="AK860" s="40"/>
    </row>
    <row r="861">
      <c r="A861" s="300"/>
      <c r="B861" s="300"/>
      <c r="C861" s="300"/>
      <c r="D861" s="300"/>
      <c r="E861" s="300"/>
      <c r="F861" s="329"/>
      <c r="G861" s="300"/>
      <c r="H861" s="300"/>
      <c r="I861" s="300"/>
      <c r="J861" s="300"/>
      <c r="K861" s="300"/>
      <c r="L861" s="329"/>
      <c r="M861" s="29" t="str">
        <f t="shared" si="1"/>
        <v/>
      </c>
      <c r="N861" s="31" t="str">
        <f>IFERROR(__xludf.DUMMYFUNCTION("IF(Account!$F861&lt;&gt;"""", VALUE(REGEXREPLACE($I861, ""\,"", ""."")), """")"),"")</f>
        <v/>
      </c>
      <c r="O861" s="33" t="str">
        <f>IF(Account!$F861&lt;&gt;"", DATEVALUE(MID($A861,4,3) &amp; LEFT($A861,3) &amp; RIGHT($A861,4)) + TIMEVALUE($B861), "")</f>
        <v/>
      </c>
      <c r="P861" s="34" t="str">
        <f>IF(Account!$F861&lt;&gt;"", DATEVALUE(MID($C861,4,3) &amp; LEFT($C861,3) &amp; RIGHT($C861,4)), "")</f>
        <v/>
      </c>
      <c r="Q861" s="35" t="str">
        <f t="array" ref="Q861">IF($R861&lt;&gt;"",IFERROR(INDEX(Investment!$A:$A,MATCH($R861,Investment!$H:$H,0))),)</f>
        <v/>
      </c>
      <c r="R861" s="36" t="str">
        <f t="array" ref="R861">IF(AND($Y861="change",$H861="EUR"),IF(AND($AA861="Crédit",$O861=$O862),$R862,IF(AND($AA861="Débit",$O861=$O860),$R860)),IF(OR(AND(OR($E861&lt;&gt;"",$M861=""),$N861&lt;&gt;0),$A861=""),IFERROR(INDEX(Investment!$H:$H,MATCH($E861,Investment!$F:$F,0))),IFERROR(INDEX($R862:$R1119,MATCH(SUBSTITUTE($I861,"-","",1),$K862:$K1119,0)),INDEX($R862:$R1119,MATCH($K861,$K862:$K1119,0)))))</f>
        <v/>
      </c>
      <c r="S861" s="35" t="str">
        <f t="shared" si="2"/>
        <v/>
      </c>
      <c r="T861" s="37" t="str">
        <f t="shared" si="3"/>
        <v/>
      </c>
      <c r="U861" s="38" t="str">
        <f t="shared" si="4"/>
        <v/>
      </c>
      <c r="V861" s="31" t="str">
        <f t="shared" si="5"/>
        <v/>
      </c>
      <c r="W861" s="39" t="str">
        <f>IFERROR(__xludf.DUMMYFUNCTION(" IF(Account!$F861&lt;&gt;"""", SPLIT(Account!$F861, "" ""), """")"),"")</f>
        <v/>
      </c>
      <c r="X861" s="40"/>
      <c r="Y861" s="40"/>
      <c r="Z861" s="40"/>
      <c r="AA861" s="40"/>
      <c r="AB861" s="40"/>
      <c r="AC861" s="40"/>
      <c r="AD861" s="40"/>
      <c r="AE861" s="40"/>
      <c r="AF861" s="40"/>
      <c r="AG861" s="40"/>
      <c r="AH861" s="40"/>
      <c r="AI861" s="40"/>
      <c r="AJ861" s="40"/>
      <c r="AK861" s="40"/>
    </row>
    <row r="862">
      <c r="A862" s="300"/>
      <c r="B862" s="300"/>
      <c r="C862" s="300"/>
      <c r="D862" s="300"/>
      <c r="E862" s="300"/>
      <c r="F862" s="329"/>
      <c r="G862" s="300"/>
      <c r="H862" s="300"/>
      <c r="I862" s="300"/>
      <c r="J862" s="300"/>
      <c r="K862" s="300"/>
      <c r="L862" s="329"/>
      <c r="M862" s="29" t="str">
        <f t="shared" si="1"/>
        <v/>
      </c>
      <c r="N862" s="31" t="str">
        <f>IFERROR(__xludf.DUMMYFUNCTION("IF(Account!$F862&lt;&gt;"""", VALUE(REGEXREPLACE($I862, ""\,"", ""."")), """")"),"")</f>
        <v/>
      </c>
      <c r="O862" s="33" t="str">
        <f>IF(Account!$F862&lt;&gt;"", DATEVALUE(MID($A862,4,3) &amp; LEFT($A862,3) &amp; RIGHT($A862,4)) + TIMEVALUE($B862), "")</f>
        <v/>
      </c>
      <c r="P862" s="34" t="str">
        <f>IF(Account!$F862&lt;&gt;"", DATEVALUE(MID($C862,4,3) &amp; LEFT($C862,3) &amp; RIGHT($C862,4)), "")</f>
        <v/>
      </c>
      <c r="Q862" s="35" t="str">
        <f t="array" ref="Q862">IF($R862&lt;&gt;"",IFERROR(INDEX(Investment!$A:$A,MATCH($R862,Investment!$H:$H,0))),)</f>
        <v/>
      </c>
      <c r="R862" s="36" t="str">
        <f t="array" ref="R862">IF(AND($Y862="change",$H862="EUR"),IF(AND($AA862="Crédit",$O862=$O863),$R863,IF(AND($AA862="Débit",$O862=$O861),$R861)),IF(OR(AND(OR($E862&lt;&gt;"",$M862=""),$N862&lt;&gt;0),$A862=""),IFERROR(INDEX(Investment!$H:$H,MATCH($E862,Investment!$F:$F,0))),IFERROR(INDEX($R863:$R1119,MATCH(SUBSTITUTE($I862,"-","",1),$K863:$K1119,0)),INDEX($R863:$R1119,MATCH($K862,$K863:$K1119,0)))))</f>
        <v/>
      </c>
      <c r="S862" s="35" t="str">
        <f t="shared" si="2"/>
        <v/>
      </c>
      <c r="T862" s="37" t="str">
        <f t="shared" si="3"/>
        <v/>
      </c>
      <c r="U862" s="38" t="str">
        <f t="shared" si="4"/>
        <v/>
      </c>
      <c r="V862" s="31" t="str">
        <f t="shared" si="5"/>
        <v/>
      </c>
      <c r="W862" s="39" t="str">
        <f>IFERROR(__xludf.DUMMYFUNCTION(" IF(Account!$F862&lt;&gt;"""", SPLIT(Account!$F862, "" ""), """")"),"")</f>
        <v/>
      </c>
      <c r="X862" s="40"/>
      <c r="Y862" s="40"/>
      <c r="Z862" s="40"/>
      <c r="AA862" s="40"/>
      <c r="AB862" s="40"/>
      <c r="AC862" s="40"/>
      <c r="AD862" s="40"/>
      <c r="AE862" s="40"/>
      <c r="AF862" s="40"/>
      <c r="AG862" s="40"/>
      <c r="AH862" s="40"/>
      <c r="AI862" s="40"/>
      <c r="AJ862" s="40"/>
      <c r="AK862" s="40"/>
    </row>
    <row r="863">
      <c r="A863" s="300"/>
      <c r="B863" s="300"/>
      <c r="C863" s="300"/>
      <c r="D863" s="300"/>
      <c r="E863" s="300"/>
      <c r="F863" s="329"/>
      <c r="G863" s="300"/>
      <c r="H863" s="300"/>
      <c r="I863" s="300"/>
      <c r="J863" s="300"/>
      <c r="K863" s="300"/>
      <c r="L863" s="329"/>
      <c r="M863" s="29" t="str">
        <f t="shared" si="1"/>
        <v/>
      </c>
      <c r="N863" s="31" t="str">
        <f>IFERROR(__xludf.DUMMYFUNCTION("IF(Account!$F863&lt;&gt;"""", VALUE(REGEXREPLACE($I863, ""\,"", ""."")), """")"),"")</f>
        <v/>
      </c>
      <c r="O863" s="33" t="str">
        <f>IF(Account!$F863&lt;&gt;"", DATEVALUE(MID($A863,4,3) &amp; LEFT($A863,3) &amp; RIGHT($A863,4)) + TIMEVALUE($B863), "")</f>
        <v/>
      </c>
      <c r="P863" s="34" t="str">
        <f>IF(Account!$F863&lt;&gt;"", DATEVALUE(MID($C863,4,3) &amp; LEFT($C863,3) &amp; RIGHT($C863,4)), "")</f>
        <v/>
      </c>
      <c r="Q863" s="35" t="str">
        <f t="array" ref="Q863">IF($R863&lt;&gt;"",IFERROR(INDEX(Investment!$A:$A,MATCH($R863,Investment!$H:$H,0))),)</f>
        <v/>
      </c>
      <c r="R863" s="36" t="str">
        <f t="array" ref="R863">IF(AND($Y863="change",$H863="EUR"),IF(AND($AA863="Crédit",$O863=$O864),$R864,IF(AND($AA863="Débit",$O863=$O862),$R862)),IF(OR(AND(OR($E863&lt;&gt;"",$M863=""),$N863&lt;&gt;0),$A863=""),IFERROR(INDEX(Investment!$H:$H,MATCH($E863,Investment!$F:$F,0))),IFERROR(INDEX($R864:$R1119,MATCH(SUBSTITUTE($I863,"-","",1),$K864:$K1119,0)),INDEX($R864:$R1119,MATCH($K863,$K864:$K1119,0)))))</f>
        <v/>
      </c>
      <c r="S863" s="35" t="str">
        <f t="shared" si="2"/>
        <v/>
      </c>
      <c r="T863" s="37" t="str">
        <f t="shared" si="3"/>
        <v/>
      </c>
      <c r="U863" s="38" t="str">
        <f t="shared" si="4"/>
        <v/>
      </c>
      <c r="V863" s="31" t="str">
        <f t="shared" si="5"/>
        <v/>
      </c>
      <c r="W863" s="39" t="str">
        <f>IFERROR(__xludf.DUMMYFUNCTION(" IF(Account!$F863&lt;&gt;"""", SPLIT(Account!$F863, "" ""), """")"),"")</f>
        <v/>
      </c>
      <c r="X863" s="40"/>
      <c r="Y863" s="40"/>
      <c r="Z863" s="40"/>
      <c r="AA863" s="40"/>
      <c r="AB863" s="40"/>
      <c r="AC863" s="40"/>
      <c r="AD863" s="40"/>
      <c r="AE863" s="40"/>
      <c r="AF863" s="40"/>
      <c r="AG863" s="40"/>
      <c r="AH863" s="40"/>
      <c r="AI863" s="40"/>
      <c r="AJ863" s="40"/>
      <c r="AK863" s="40"/>
    </row>
    <row r="864">
      <c r="A864" s="300"/>
      <c r="B864" s="300"/>
      <c r="C864" s="300"/>
      <c r="D864" s="300"/>
      <c r="E864" s="300"/>
      <c r="F864" s="329"/>
      <c r="G864" s="300"/>
      <c r="H864" s="300"/>
      <c r="I864" s="300"/>
      <c r="J864" s="300"/>
      <c r="K864" s="300"/>
      <c r="L864" s="329"/>
      <c r="M864" s="29" t="str">
        <f t="shared" si="1"/>
        <v/>
      </c>
      <c r="N864" s="31" t="str">
        <f>IFERROR(__xludf.DUMMYFUNCTION("IF(Account!$F864&lt;&gt;"""", VALUE(REGEXREPLACE($I864, ""\,"", ""."")), """")"),"")</f>
        <v/>
      </c>
      <c r="O864" s="33" t="str">
        <f>IF(Account!$F864&lt;&gt;"", DATEVALUE(MID($A864,4,3) &amp; LEFT($A864,3) &amp; RIGHT($A864,4)) + TIMEVALUE($B864), "")</f>
        <v/>
      </c>
      <c r="P864" s="34" t="str">
        <f>IF(Account!$F864&lt;&gt;"", DATEVALUE(MID($C864,4,3) &amp; LEFT($C864,3) &amp; RIGHT($C864,4)), "")</f>
        <v/>
      </c>
      <c r="Q864" s="35" t="str">
        <f t="array" ref="Q864">IF($R864&lt;&gt;"",IFERROR(INDEX(Investment!$A:$A,MATCH($R864,Investment!$H:$H,0))),)</f>
        <v/>
      </c>
      <c r="R864" s="36" t="str">
        <f t="array" ref="R864">IF(AND($Y864="change",$H864="EUR"),IF(AND($AA864="Crédit",$O864=$O865),$R865,IF(AND($AA864="Débit",$O864=$O863),$R863)),IF(OR(AND(OR($E864&lt;&gt;"",$M864=""),$N864&lt;&gt;0),$A864=""),IFERROR(INDEX(Investment!$H:$H,MATCH($E864,Investment!$F:$F,0))),IFERROR(INDEX($R865:$R1119,MATCH(SUBSTITUTE($I864,"-","",1),$K865:$K1119,0)),INDEX($R865:$R1119,MATCH($K864,$K865:$K1119,0)))))</f>
        <v/>
      </c>
      <c r="S864" s="35" t="str">
        <f t="shared" si="2"/>
        <v/>
      </c>
      <c r="T864" s="37" t="str">
        <f t="shared" si="3"/>
        <v/>
      </c>
      <c r="U864" s="38" t="str">
        <f t="shared" si="4"/>
        <v/>
      </c>
      <c r="V864" s="31" t="str">
        <f t="shared" si="5"/>
        <v/>
      </c>
      <c r="W864" s="39" t="str">
        <f>IFERROR(__xludf.DUMMYFUNCTION(" IF(Account!$F864&lt;&gt;"""", SPLIT(Account!$F864, "" ""), """")"),"")</f>
        <v/>
      </c>
      <c r="X864" s="40"/>
      <c r="Y864" s="40"/>
      <c r="Z864" s="40"/>
      <c r="AA864" s="40"/>
      <c r="AB864" s="40"/>
      <c r="AC864" s="40"/>
      <c r="AD864" s="40"/>
      <c r="AE864" s="40"/>
      <c r="AF864" s="40"/>
      <c r="AG864" s="40"/>
      <c r="AH864" s="40"/>
      <c r="AI864" s="40"/>
      <c r="AJ864" s="40"/>
      <c r="AK864" s="40"/>
    </row>
    <row r="865">
      <c r="A865" s="300"/>
      <c r="B865" s="300"/>
      <c r="C865" s="300"/>
      <c r="D865" s="300"/>
      <c r="E865" s="300"/>
      <c r="F865" s="329"/>
      <c r="G865" s="300"/>
      <c r="H865" s="300"/>
      <c r="I865" s="300"/>
      <c r="J865" s="300"/>
      <c r="K865" s="300"/>
      <c r="L865" s="329"/>
      <c r="M865" s="29" t="str">
        <f t="shared" si="1"/>
        <v/>
      </c>
      <c r="N865" s="31" t="str">
        <f>IFERROR(__xludf.DUMMYFUNCTION("IF(Account!$F865&lt;&gt;"""", VALUE(REGEXREPLACE($I865, ""\,"", ""."")), """")"),"")</f>
        <v/>
      </c>
      <c r="O865" s="33" t="str">
        <f>IF(Account!$F865&lt;&gt;"", DATEVALUE(MID($A865,4,3) &amp; LEFT($A865,3) &amp; RIGHT($A865,4)) + TIMEVALUE($B865), "")</f>
        <v/>
      </c>
      <c r="P865" s="34" t="str">
        <f>IF(Account!$F865&lt;&gt;"", DATEVALUE(MID($C865,4,3) &amp; LEFT($C865,3) &amp; RIGHT($C865,4)), "")</f>
        <v/>
      </c>
      <c r="Q865" s="35" t="str">
        <f t="array" ref="Q865">IF($R865&lt;&gt;"",IFERROR(INDEX(Investment!$A:$A,MATCH($R865,Investment!$H:$H,0))),)</f>
        <v/>
      </c>
      <c r="R865" s="36" t="str">
        <f t="array" ref="R865">IF(AND($Y865="change",$H865="EUR"),IF(AND($AA865="Crédit",$O865=$O866),$R866,IF(AND($AA865="Débit",$O865=$O864),$R864)),IF(OR(AND(OR($E865&lt;&gt;"",$M865=""),$N865&lt;&gt;0),$A865=""),IFERROR(INDEX(Investment!$H:$H,MATCH($E865,Investment!$F:$F,0))),IFERROR(INDEX($R866:$R1119,MATCH(SUBSTITUTE($I865,"-","",1),$K866:$K1119,0)),INDEX($R866:$R1119,MATCH($K865,$K866:$K1119,0)))))</f>
        <v/>
      </c>
      <c r="S865" s="35" t="str">
        <f t="shared" si="2"/>
        <v/>
      </c>
      <c r="T865" s="37" t="str">
        <f t="shared" si="3"/>
        <v/>
      </c>
      <c r="U865" s="38" t="str">
        <f t="shared" si="4"/>
        <v/>
      </c>
      <c r="V865" s="31" t="str">
        <f t="shared" si="5"/>
        <v/>
      </c>
      <c r="W865" s="39" t="str">
        <f>IFERROR(__xludf.DUMMYFUNCTION(" IF(Account!$F865&lt;&gt;"""", SPLIT(Account!$F865, "" ""), """")"),"")</f>
        <v/>
      </c>
      <c r="X865" s="40"/>
      <c r="Y865" s="40"/>
      <c r="Z865" s="40"/>
      <c r="AA865" s="40"/>
      <c r="AB865" s="40"/>
      <c r="AC865" s="40"/>
      <c r="AD865" s="40"/>
      <c r="AE865" s="40"/>
      <c r="AF865" s="40"/>
      <c r="AG865" s="40"/>
      <c r="AH865" s="40"/>
      <c r="AI865" s="40"/>
      <c r="AJ865" s="40"/>
      <c r="AK865" s="40"/>
    </row>
    <row r="866">
      <c r="A866" s="300"/>
      <c r="B866" s="300"/>
      <c r="C866" s="300"/>
      <c r="D866" s="300"/>
      <c r="E866" s="300"/>
      <c r="F866" s="329"/>
      <c r="G866" s="300"/>
      <c r="H866" s="300"/>
      <c r="I866" s="300"/>
      <c r="J866" s="300"/>
      <c r="K866" s="300"/>
      <c r="L866" s="329"/>
      <c r="M866" s="29" t="str">
        <f t="shared" si="1"/>
        <v/>
      </c>
      <c r="N866" s="31" t="str">
        <f>IFERROR(__xludf.DUMMYFUNCTION("IF(Account!$F866&lt;&gt;"""", VALUE(REGEXREPLACE($I866, ""\,"", ""."")), """")"),"")</f>
        <v/>
      </c>
      <c r="O866" s="33" t="str">
        <f>IF(Account!$F866&lt;&gt;"", DATEVALUE(MID($A866,4,3) &amp; LEFT($A866,3) &amp; RIGHT($A866,4)) + TIMEVALUE($B866), "")</f>
        <v/>
      </c>
      <c r="P866" s="34" t="str">
        <f>IF(Account!$F866&lt;&gt;"", DATEVALUE(MID($C866,4,3) &amp; LEFT($C866,3) &amp; RIGHT($C866,4)), "")</f>
        <v/>
      </c>
      <c r="Q866" s="35" t="str">
        <f t="array" ref="Q866">IF($R866&lt;&gt;"",IFERROR(INDEX(Investment!$A:$A,MATCH($R866,Investment!$H:$H,0))),)</f>
        <v/>
      </c>
      <c r="R866" s="36" t="str">
        <f t="array" ref="R866">IF(AND($Y866="change",$H866="EUR"),IF(AND($AA866="Crédit",$O866=$O867),$R867,IF(AND($AA866="Débit",$O866=$O865),$R865)),IF(OR(AND(OR($E866&lt;&gt;"",$M866=""),$N866&lt;&gt;0),$A866=""),IFERROR(INDEX(Investment!$H:$H,MATCH($E866,Investment!$F:$F,0))),IFERROR(INDEX($R867:$R1119,MATCH(SUBSTITUTE($I866,"-","",1),$K867:$K1119,0)),INDEX($R867:$R1119,MATCH($K866,$K867:$K1119,0)))))</f>
        <v/>
      </c>
      <c r="S866" s="35" t="str">
        <f t="shared" si="2"/>
        <v/>
      </c>
      <c r="T866" s="37" t="str">
        <f t="shared" si="3"/>
        <v/>
      </c>
      <c r="U866" s="38" t="str">
        <f t="shared" si="4"/>
        <v/>
      </c>
      <c r="V866" s="31" t="str">
        <f t="shared" si="5"/>
        <v/>
      </c>
      <c r="W866" s="39" t="str">
        <f>IFERROR(__xludf.DUMMYFUNCTION(" IF(Account!$F866&lt;&gt;"""", SPLIT(Account!$F866, "" ""), """")"),"")</f>
        <v/>
      </c>
      <c r="X866" s="40"/>
      <c r="Y866" s="40"/>
      <c r="Z866" s="40"/>
      <c r="AA866" s="40"/>
      <c r="AB866" s="40"/>
      <c r="AC866" s="40"/>
      <c r="AD866" s="40"/>
      <c r="AE866" s="40"/>
      <c r="AF866" s="40"/>
      <c r="AG866" s="40"/>
      <c r="AH866" s="40"/>
      <c r="AI866" s="40"/>
      <c r="AJ866" s="40"/>
      <c r="AK866" s="40"/>
    </row>
    <row r="867">
      <c r="A867" s="300"/>
      <c r="B867" s="300"/>
      <c r="C867" s="300"/>
      <c r="D867" s="300"/>
      <c r="E867" s="300"/>
      <c r="F867" s="329"/>
      <c r="G867" s="300"/>
      <c r="H867" s="300"/>
      <c r="I867" s="300"/>
      <c r="J867" s="300"/>
      <c r="K867" s="300"/>
      <c r="L867" s="329"/>
      <c r="M867" s="29" t="str">
        <f t="shared" si="1"/>
        <v/>
      </c>
      <c r="N867" s="31" t="str">
        <f>IFERROR(__xludf.DUMMYFUNCTION("IF(Account!$F867&lt;&gt;"""", VALUE(REGEXREPLACE($I867, ""\,"", ""."")), """")"),"")</f>
        <v/>
      </c>
      <c r="O867" s="33" t="str">
        <f>IF(Account!$F867&lt;&gt;"", DATEVALUE(MID($A867,4,3) &amp; LEFT($A867,3) &amp; RIGHT($A867,4)) + TIMEVALUE($B867), "")</f>
        <v/>
      </c>
      <c r="P867" s="34" t="str">
        <f>IF(Account!$F867&lt;&gt;"", DATEVALUE(MID($C867,4,3) &amp; LEFT($C867,3) &amp; RIGHT($C867,4)), "")</f>
        <v/>
      </c>
      <c r="Q867" s="35" t="str">
        <f t="array" ref="Q867">IF($R867&lt;&gt;"",IFERROR(INDEX(Investment!$A:$A,MATCH($R867,Investment!$H:$H,0))),)</f>
        <v/>
      </c>
      <c r="R867" s="36" t="str">
        <f t="array" ref="R867">IF(AND($Y867="change",$H867="EUR"),IF(AND($AA867="Crédit",$O867=$O868),$R868,IF(AND($AA867="Débit",$O867=$O866),$R866)),IF(OR(AND(OR($E867&lt;&gt;"",$M867=""),$N867&lt;&gt;0),$A867=""),IFERROR(INDEX(Investment!$H:$H,MATCH($E867,Investment!$F:$F,0))),IFERROR(INDEX($R868:$R1119,MATCH(SUBSTITUTE($I867,"-","",1),$K868:$K1119,0)),INDEX($R868:$R1119,MATCH($K867,$K868:$K1119,0)))))</f>
        <v/>
      </c>
      <c r="S867" s="35" t="str">
        <f t="shared" si="2"/>
        <v/>
      </c>
      <c r="T867" s="37" t="str">
        <f t="shared" si="3"/>
        <v/>
      </c>
      <c r="U867" s="38" t="str">
        <f t="shared" si="4"/>
        <v/>
      </c>
      <c r="V867" s="31" t="str">
        <f t="shared" si="5"/>
        <v/>
      </c>
      <c r="W867" s="39" t="str">
        <f>IFERROR(__xludf.DUMMYFUNCTION(" IF(Account!$F867&lt;&gt;"""", SPLIT(Account!$F867, "" ""), """")"),"")</f>
        <v/>
      </c>
      <c r="X867" s="40"/>
      <c r="Y867" s="40"/>
      <c r="Z867" s="40"/>
      <c r="AA867" s="40"/>
      <c r="AB867" s="40"/>
      <c r="AC867" s="40"/>
      <c r="AD867" s="40"/>
      <c r="AE867" s="40"/>
      <c r="AF867" s="40"/>
      <c r="AG867" s="40"/>
      <c r="AH867" s="40"/>
      <c r="AI867" s="40"/>
      <c r="AJ867" s="40"/>
      <c r="AK867" s="40"/>
    </row>
    <row r="868">
      <c r="A868" s="300"/>
      <c r="B868" s="300"/>
      <c r="C868" s="300"/>
      <c r="D868" s="300"/>
      <c r="E868" s="300"/>
      <c r="F868" s="329"/>
      <c r="G868" s="300"/>
      <c r="H868" s="300"/>
      <c r="I868" s="300"/>
      <c r="J868" s="300"/>
      <c r="K868" s="300"/>
      <c r="L868" s="329"/>
      <c r="M868" s="29" t="str">
        <f t="shared" si="1"/>
        <v/>
      </c>
      <c r="N868" s="31" t="str">
        <f>IFERROR(__xludf.DUMMYFUNCTION("IF(Account!$F868&lt;&gt;"""", VALUE(REGEXREPLACE($I868, ""\,"", ""."")), """")"),"")</f>
        <v/>
      </c>
      <c r="O868" s="33" t="str">
        <f>IF(Account!$F868&lt;&gt;"", DATEVALUE(MID($A868,4,3) &amp; LEFT($A868,3) &amp; RIGHT($A868,4)) + TIMEVALUE($B868), "")</f>
        <v/>
      </c>
      <c r="P868" s="34" t="str">
        <f>IF(Account!$F868&lt;&gt;"", DATEVALUE(MID($C868,4,3) &amp; LEFT($C868,3) &amp; RIGHT($C868,4)), "")</f>
        <v/>
      </c>
      <c r="Q868" s="35" t="str">
        <f t="array" ref="Q868">IF($R868&lt;&gt;"",IFERROR(INDEX(Investment!$A:$A,MATCH($R868,Investment!$H:$H,0))),)</f>
        <v/>
      </c>
      <c r="R868" s="36" t="str">
        <f t="array" ref="R868">IF(AND($Y868="change",$H868="EUR"),IF(AND($AA868="Crédit",$O868=$O869),$R869,IF(AND($AA868="Débit",$O868=$O867),$R867)),IF(OR(AND(OR($E868&lt;&gt;"",$M868=""),$N868&lt;&gt;0),$A868=""),IFERROR(INDEX(Investment!$H:$H,MATCH($E868,Investment!$F:$F,0))),IFERROR(INDEX($R869:$R1119,MATCH(SUBSTITUTE($I868,"-","",1),$K869:$K1119,0)),INDEX($R869:$R1119,MATCH($K868,$K869:$K1119,0)))))</f>
        <v/>
      </c>
      <c r="S868" s="35" t="str">
        <f t="shared" si="2"/>
        <v/>
      </c>
      <c r="T868" s="37" t="str">
        <f t="shared" si="3"/>
        <v/>
      </c>
      <c r="U868" s="38" t="str">
        <f t="shared" si="4"/>
        <v/>
      </c>
      <c r="V868" s="31" t="str">
        <f t="shared" si="5"/>
        <v/>
      </c>
      <c r="W868" s="39" t="str">
        <f>IFERROR(__xludf.DUMMYFUNCTION(" IF(Account!$F868&lt;&gt;"""", SPLIT(Account!$F868, "" ""), """")"),"")</f>
        <v/>
      </c>
      <c r="X868" s="40"/>
      <c r="Y868" s="40"/>
      <c r="Z868" s="40"/>
      <c r="AA868" s="40"/>
      <c r="AB868" s="40"/>
      <c r="AC868" s="40"/>
      <c r="AD868" s="40"/>
      <c r="AE868" s="40"/>
      <c r="AF868" s="40"/>
      <c r="AG868" s="40"/>
      <c r="AH868" s="40"/>
      <c r="AI868" s="40"/>
      <c r="AJ868" s="40"/>
      <c r="AK868" s="40"/>
    </row>
    <row r="869">
      <c r="A869" s="300"/>
      <c r="B869" s="300"/>
      <c r="C869" s="300"/>
      <c r="D869" s="300"/>
      <c r="E869" s="300"/>
      <c r="F869" s="329"/>
      <c r="G869" s="300"/>
      <c r="H869" s="300"/>
      <c r="I869" s="300"/>
      <c r="J869" s="300"/>
      <c r="K869" s="300"/>
      <c r="L869" s="329"/>
      <c r="M869" s="29" t="str">
        <f t="shared" si="1"/>
        <v/>
      </c>
      <c r="N869" s="31" t="str">
        <f>IFERROR(__xludf.DUMMYFUNCTION("IF(Account!$F869&lt;&gt;"""", VALUE(REGEXREPLACE($I869, ""\,"", ""."")), """")"),"")</f>
        <v/>
      </c>
      <c r="O869" s="33" t="str">
        <f>IF(Account!$F869&lt;&gt;"", DATEVALUE(MID($A869,4,3) &amp; LEFT($A869,3) &amp; RIGHT($A869,4)) + TIMEVALUE($B869), "")</f>
        <v/>
      </c>
      <c r="P869" s="34" t="str">
        <f>IF(Account!$F869&lt;&gt;"", DATEVALUE(MID($C869,4,3) &amp; LEFT($C869,3) &amp; RIGHT($C869,4)), "")</f>
        <v/>
      </c>
      <c r="Q869" s="35" t="str">
        <f t="array" ref="Q869">IF($R869&lt;&gt;"",IFERROR(INDEX(Investment!$A:$A,MATCH($R869,Investment!$H:$H,0))),)</f>
        <v/>
      </c>
      <c r="R869" s="36" t="str">
        <f t="array" ref="R869">IF(AND($Y869="change",$H869="EUR"),IF(AND($AA869="Crédit",$O869=$O870),$R870,IF(AND($AA869="Débit",$O869=$O868),$R868)),IF(OR(AND(OR($E869&lt;&gt;"",$M869=""),$N869&lt;&gt;0),$A869=""),IFERROR(INDEX(Investment!$H:$H,MATCH($E869,Investment!$F:$F,0))),IFERROR(INDEX($R870:$R1119,MATCH(SUBSTITUTE($I869,"-","",1),$K870:$K1119,0)),INDEX($R870:$R1119,MATCH($K869,$K870:$K1119,0)))))</f>
        <v/>
      </c>
      <c r="S869" s="35" t="str">
        <f t="shared" si="2"/>
        <v/>
      </c>
      <c r="T869" s="37" t="str">
        <f t="shared" si="3"/>
        <v/>
      </c>
      <c r="U869" s="38" t="str">
        <f t="shared" si="4"/>
        <v/>
      </c>
      <c r="V869" s="31" t="str">
        <f t="shared" si="5"/>
        <v/>
      </c>
      <c r="W869" s="39" t="str">
        <f>IFERROR(__xludf.DUMMYFUNCTION(" IF(Account!$F869&lt;&gt;"""", SPLIT(Account!$F869, "" ""), """")"),"")</f>
        <v/>
      </c>
      <c r="X869" s="40"/>
      <c r="Y869" s="40"/>
      <c r="Z869" s="40"/>
      <c r="AA869" s="40"/>
      <c r="AB869" s="40"/>
      <c r="AC869" s="40"/>
      <c r="AD869" s="40"/>
      <c r="AE869" s="40"/>
      <c r="AF869" s="40"/>
      <c r="AG869" s="40"/>
      <c r="AH869" s="40"/>
      <c r="AI869" s="40"/>
      <c r="AJ869" s="40"/>
      <c r="AK869" s="40"/>
    </row>
    <row r="870">
      <c r="A870" s="300"/>
      <c r="B870" s="300"/>
      <c r="C870" s="300"/>
      <c r="D870" s="300"/>
      <c r="E870" s="300"/>
      <c r="F870" s="329"/>
      <c r="G870" s="300"/>
      <c r="H870" s="300"/>
      <c r="I870" s="300"/>
      <c r="J870" s="300"/>
      <c r="K870" s="300"/>
      <c r="L870" s="329"/>
      <c r="M870" s="29" t="str">
        <f t="shared" si="1"/>
        <v/>
      </c>
      <c r="N870" s="31" t="str">
        <f>IFERROR(__xludf.DUMMYFUNCTION("IF(Account!$F870&lt;&gt;"""", VALUE(REGEXREPLACE($I870, ""\,"", ""."")), """")"),"")</f>
        <v/>
      </c>
      <c r="O870" s="33" t="str">
        <f>IF(Account!$F870&lt;&gt;"", DATEVALUE(MID($A870,4,3) &amp; LEFT($A870,3) &amp; RIGHT($A870,4)) + TIMEVALUE($B870), "")</f>
        <v/>
      </c>
      <c r="P870" s="34" t="str">
        <f>IF(Account!$F870&lt;&gt;"", DATEVALUE(MID($C870,4,3) &amp; LEFT($C870,3) &amp; RIGHT($C870,4)), "")</f>
        <v/>
      </c>
      <c r="Q870" s="35" t="str">
        <f t="array" ref="Q870">IF($R870&lt;&gt;"",IFERROR(INDEX(Investment!$A:$A,MATCH($R870,Investment!$H:$H,0))),)</f>
        <v/>
      </c>
      <c r="R870" s="36" t="str">
        <f t="array" ref="R870">IF(AND($Y870="change",$H870="EUR"),IF(AND($AA870="Crédit",$O870=$O871),$R871,IF(AND($AA870="Débit",$O870=$O869),$R869)),IF(OR(AND(OR($E870&lt;&gt;"",$M870=""),$N870&lt;&gt;0),$A870=""),IFERROR(INDEX(Investment!$H:$H,MATCH($E870,Investment!$F:$F,0))),IFERROR(INDEX($R871:$R1119,MATCH(SUBSTITUTE($I870,"-","",1),$K871:$K1119,0)),INDEX($R871:$R1119,MATCH($K870,$K871:$K1119,0)))))</f>
        <v/>
      </c>
      <c r="S870" s="35" t="str">
        <f t="shared" si="2"/>
        <v/>
      </c>
      <c r="T870" s="37" t="str">
        <f t="shared" si="3"/>
        <v/>
      </c>
      <c r="U870" s="38" t="str">
        <f t="shared" si="4"/>
        <v/>
      </c>
      <c r="V870" s="31" t="str">
        <f t="shared" si="5"/>
        <v/>
      </c>
      <c r="W870" s="39" t="str">
        <f>IFERROR(__xludf.DUMMYFUNCTION(" IF(Account!$F870&lt;&gt;"""", SPLIT(Account!$F870, "" ""), """")"),"")</f>
        <v/>
      </c>
      <c r="X870" s="40"/>
      <c r="Y870" s="40"/>
      <c r="Z870" s="40"/>
      <c r="AA870" s="40"/>
      <c r="AB870" s="40"/>
      <c r="AC870" s="40"/>
      <c r="AD870" s="40"/>
      <c r="AE870" s="40"/>
      <c r="AF870" s="40"/>
      <c r="AG870" s="40"/>
      <c r="AH870" s="40"/>
      <c r="AI870" s="40"/>
      <c r="AJ870" s="40"/>
      <c r="AK870" s="40"/>
    </row>
    <row r="871">
      <c r="A871" s="300"/>
      <c r="B871" s="300"/>
      <c r="C871" s="300"/>
      <c r="D871" s="300"/>
      <c r="E871" s="300"/>
      <c r="F871" s="329"/>
      <c r="G871" s="300"/>
      <c r="H871" s="300"/>
      <c r="I871" s="300"/>
      <c r="J871" s="300"/>
      <c r="K871" s="300"/>
      <c r="L871" s="329"/>
      <c r="M871" s="29" t="str">
        <f t="shared" si="1"/>
        <v/>
      </c>
      <c r="N871" s="31" t="str">
        <f>IFERROR(__xludf.DUMMYFUNCTION("IF(Account!$F871&lt;&gt;"""", VALUE(REGEXREPLACE($I871, ""\,"", ""."")), """")"),"")</f>
        <v/>
      </c>
      <c r="O871" s="33" t="str">
        <f>IF(Account!$F871&lt;&gt;"", DATEVALUE(MID($A871,4,3) &amp; LEFT($A871,3) &amp; RIGHT($A871,4)) + TIMEVALUE($B871), "")</f>
        <v/>
      </c>
      <c r="P871" s="34" t="str">
        <f>IF(Account!$F871&lt;&gt;"", DATEVALUE(MID($C871,4,3) &amp; LEFT($C871,3) &amp; RIGHT($C871,4)), "")</f>
        <v/>
      </c>
      <c r="Q871" s="35" t="str">
        <f t="array" ref="Q871">IF($R871&lt;&gt;"",IFERROR(INDEX(Investment!$A:$A,MATCH($R871,Investment!$H:$H,0))),)</f>
        <v/>
      </c>
      <c r="R871" s="36" t="str">
        <f t="array" ref="R871">IF(AND($Y871="change",$H871="EUR"),IF(AND($AA871="Crédit",$O871=$O872),$R872,IF(AND($AA871="Débit",$O871=$O870),$R870)),IF(OR(AND(OR($E871&lt;&gt;"",$M871=""),$N871&lt;&gt;0),$A871=""),IFERROR(INDEX(Investment!$H:$H,MATCH($E871,Investment!$F:$F,0))),IFERROR(INDEX($R872:$R1119,MATCH(SUBSTITUTE($I871,"-","",1),$K872:$K1119,0)),INDEX($R872:$R1119,MATCH($K871,$K872:$K1119,0)))))</f>
        <v/>
      </c>
      <c r="S871" s="35" t="str">
        <f t="shared" si="2"/>
        <v/>
      </c>
      <c r="T871" s="37" t="str">
        <f t="shared" si="3"/>
        <v/>
      </c>
      <c r="U871" s="38" t="str">
        <f t="shared" si="4"/>
        <v/>
      </c>
      <c r="V871" s="31" t="str">
        <f t="shared" si="5"/>
        <v/>
      </c>
      <c r="W871" s="39" t="str">
        <f>IFERROR(__xludf.DUMMYFUNCTION(" IF(Account!$F871&lt;&gt;"""", SPLIT(Account!$F871, "" ""), """")"),"")</f>
        <v/>
      </c>
      <c r="X871" s="40"/>
      <c r="Y871" s="40"/>
      <c r="Z871" s="40"/>
      <c r="AA871" s="40"/>
      <c r="AB871" s="40"/>
      <c r="AC871" s="40"/>
      <c r="AD871" s="40"/>
      <c r="AE871" s="40"/>
      <c r="AF871" s="40"/>
      <c r="AG871" s="40"/>
      <c r="AH871" s="40"/>
      <c r="AI871" s="40"/>
      <c r="AJ871" s="40"/>
      <c r="AK871" s="40"/>
    </row>
    <row r="872">
      <c r="A872" s="300"/>
      <c r="B872" s="300"/>
      <c r="C872" s="300"/>
      <c r="D872" s="300"/>
      <c r="E872" s="300"/>
      <c r="F872" s="329"/>
      <c r="G872" s="300"/>
      <c r="H872" s="300"/>
      <c r="I872" s="300"/>
      <c r="J872" s="300"/>
      <c r="K872" s="300"/>
      <c r="L872" s="329"/>
      <c r="M872" s="29" t="str">
        <f t="shared" si="1"/>
        <v/>
      </c>
      <c r="N872" s="31" t="str">
        <f>IFERROR(__xludf.DUMMYFUNCTION("IF(Account!$F872&lt;&gt;"""", VALUE(REGEXREPLACE($I872, ""\,"", ""."")), """")"),"")</f>
        <v/>
      </c>
      <c r="O872" s="33" t="str">
        <f>IF(Account!$F872&lt;&gt;"", DATEVALUE(MID($A872,4,3) &amp; LEFT($A872,3) &amp; RIGHT($A872,4)) + TIMEVALUE($B872), "")</f>
        <v/>
      </c>
      <c r="P872" s="34" t="str">
        <f>IF(Account!$F872&lt;&gt;"", DATEVALUE(MID($C872,4,3) &amp; LEFT($C872,3) &amp; RIGHT($C872,4)), "")</f>
        <v/>
      </c>
      <c r="Q872" s="35" t="str">
        <f t="array" ref="Q872">IF($R872&lt;&gt;"",IFERROR(INDEX(Investment!$A:$A,MATCH($R872,Investment!$H:$H,0))),)</f>
        <v/>
      </c>
      <c r="R872" s="36" t="str">
        <f t="array" ref="R872">IF(AND($Y872="change",$H872="EUR"),IF(AND($AA872="Crédit",$O872=$O873),$R873,IF(AND($AA872="Débit",$O872=$O871),$R871)),IF(OR(AND(OR($E872&lt;&gt;"",$M872=""),$N872&lt;&gt;0),$A872=""),IFERROR(INDEX(Investment!$H:$H,MATCH($E872,Investment!$F:$F,0))),IFERROR(INDEX($R873:$R1119,MATCH(SUBSTITUTE($I872,"-","",1),$K873:$K1119,0)),INDEX($R873:$R1119,MATCH($K872,$K873:$K1119,0)))))</f>
        <v/>
      </c>
      <c r="S872" s="35" t="str">
        <f t="shared" si="2"/>
        <v/>
      </c>
      <c r="T872" s="37" t="str">
        <f t="shared" si="3"/>
        <v/>
      </c>
      <c r="U872" s="38" t="str">
        <f t="shared" si="4"/>
        <v/>
      </c>
      <c r="V872" s="31" t="str">
        <f t="shared" si="5"/>
        <v/>
      </c>
      <c r="W872" s="39" t="str">
        <f>IFERROR(__xludf.DUMMYFUNCTION(" IF(Account!$F872&lt;&gt;"""", SPLIT(Account!$F872, "" ""), """")"),"")</f>
        <v/>
      </c>
      <c r="X872" s="40"/>
      <c r="Y872" s="40"/>
      <c r="Z872" s="40"/>
      <c r="AA872" s="40"/>
      <c r="AB872" s="40"/>
      <c r="AC872" s="40"/>
      <c r="AD872" s="40"/>
      <c r="AE872" s="40"/>
      <c r="AF872" s="40"/>
      <c r="AG872" s="40"/>
      <c r="AH872" s="40"/>
      <c r="AI872" s="40"/>
      <c r="AJ872" s="40"/>
      <c r="AK872" s="40"/>
    </row>
    <row r="873">
      <c r="A873" s="300"/>
      <c r="B873" s="300"/>
      <c r="C873" s="300"/>
      <c r="D873" s="300"/>
      <c r="E873" s="300"/>
      <c r="F873" s="329"/>
      <c r="G873" s="300"/>
      <c r="H873" s="300"/>
      <c r="I873" s="300"/>
      <c r="J873" s="300"/>
      <c r="K873" s="300"/>
      <c r="L873" s="329"/>
      <c r="M873" s="29" t="str">
        <f t="shared" si="1"/>
        <v/>
      </c>
      <c r="N873" s="31" t="str">
        <f>IFERROR(__xludf.DUMMYFUNCTION("IF(Account!$F873&lt;&gt;"""", VALUE(REGEXREPLACE($I873, ""\,"", ""."")), """")"),"")</f>
        <v/>
      </c>
      <c r="O873" s="33" t="str">
        <f>IF(Account!$F873&lt;&gt;"", DATEVALUE(MID($A873,4,3) &amp; LEFT($A873,3) &amp; RIGHT($A873,4)) + TIMEVALUE($B873), "")</f>
        <v/>
      </c>
      <c r="P873" s="34" t="str">
        <f>IF(Account!$F873&lt;&gt;"", DATEVALUE(MID($C873,4,3) &amp; LEFT($C873,3) &amp; RIGHT($C873,4)), "")</f>
        <v/>
      </c>
      <c r="Q873" s="35" t="str">
        <f t="array" ref="Q873">IF($R873&lt;&gt;"",IFERROR(INDEX(Investment!$A:$A,MATCH($R873,Investment!$H:$H,0))),)</f>
        <v/>
      </c>
      <c r="R873" s="36" t="str">
        <f t="array" ref="R873">IF(AND($Y873="change",$H873="EUR"),IF(AND($AA873="Crédit",$O873=$O874),$R874,IF(AND($AA873="Débit",$O873=$O872),$R872)),IF(OR(AND(OR($E873&lt;&gt;"",$M873=""),$N873&lt;&gt;0),$A873=""),IFERROR(INDEX(Investment!$H:$H,MATCH($E873,Investment!$F:$F,0))),IFERROR(INDEX($R874:$R1119,MATCH(SUBSTITUTE($I873,"-","",1),$K874:$K1119,0)),INDEX($R874:$R1119,MATCH($K873,$K874:$K1119,0)))))</f>
        <v/>
      </c>
      <c r="S873" s="35" t="str">
        <f t="shared" si="2"/>
        <v/>
      </c>
      <c r="T873" s="37" t="str">
        <f t="shared" si="3"/>
        <v/>
      </c>
      <c r="U873" s="38" t="str">
        <f t="shared" si="4"/>
        <v/>
      </c>
      <c r="V873" s="31" t="str">
        <f t="shared" si="5"/>
        <v/>
      </c>
      <c r="W873" s="39" t="str">
        <f>IFERROR(__xludf.DUMMYFUNCTION(" IF(Account!$F873&lt;&gt;"""", SPLIT(Account!$F873, "" ""), """")"),"")</f>
        <v/>
      </c>
      <c r="X873" s="40"/>
      <c r="Y873" s="40"/>
      <c r="Z873" s="40"/>
      <c r="AA873" s="40"/>
      <c r="AB873" s="40"/>
      <c r="AC873" s="40"/>
      <c r="AD873" s="40"/>
      <c r="AE873" s="40"/>
      <c r="AF873" s="40"/>
      <c r="AG873" s="40"/>
      <c r="AH873" s="40"/>
      <c r="AI873" s="40"/>
      <c r="AJ873" s="40"/>
      <c r="AK873" s="40"/>
    </row>
    <row r="874">
      <c r="A874" s="300"/>
      <c r="B874" s="300"/>
      <c r="C874" s="300"/>
      <c r="D874" s="300"/>
      <c r="E874" s="300"/>
      <c r="F874" s="329"/>
      <c r="G874" s="300"/>
      <c r="H874" s="300"/>
      <c r="I874" s="300"/>
      <c r="J874" s="300"/>
      <c r="K874" s="300"/>
      <c r="L874" s="329"/>
      <c r="M874" s="29" t="str">
        <f t="shared" si="1"/>
        <v/>
      </c>
      <c r="N874" s="31" t="str">
        <f>IFERROR(__xludf.DUMMYFUNCTION("IF(Account!$F874&lt;&gt;"""", VALUE(REGEXREPLACE($I874, ""\,"", ""."")), """")"),"")</f>
        <v/>
      </c>
      <c r="O874" s="33" t="str">
        <f>IF(Account!$F874&lt;&gt;"", DATEVALUE(MID($A874,4,3) &amp; LEFT($A874,3) &amp; RIGHT($A874,4)) + TIMEVALUE($B874), "")</f>
        <v/>
      </c>
      <c r="P874" s="34" t="str">
        <f>IF(Account!$F874&lt;&gt;"", DATEVALUE(MID($C874,4,3) &amp; LEFT($C874,3) &amp; RIGHT($C874,4)), "")</f>
        <v/>
      </c>
      <c r="Q874" s="35" t="str">
        <f t="array" ref="Q874">IF($R874&lt;&gt;"",IFERROR(INDEX(Investment!$A:$A,MATCH($R874,Investment!$H:$H,0))),)</f>
        <v/>
      </c>
      <c r="R874" s="36" t="str">
        <f t="array" ref="R874">IF(AND($Y874="change",$H874="EUR"),IF(AND($AA874="Crédit",$O874=$O875),$R875,IF(AND($AA874="Débit",$O874=$O873),$R873)),IF(OR(AND(OR($E874&lt;&gt;"",$M874=""),$N874&lt;&gt;0),$A874=""),IFERROR(INDEX(Investment!$H:$H,MATCH($E874,Investment!$F:$F,0))),IFERROR(INDEX($R875:$R1119,MATCH(SUBSTITUTE($I874,"-","",1),$K875:$K1119,0)),INDEX($R875:$R1119,MATCH($K874,$K875:$K1119,0)))))</f>
        <v/>
      </c>
      <c r="S874" s="35" t="str">
        <f t="shared" si="2"/>
        <v/>
      </c>
      <c r="T874" s="37" t="str">
        <f t="shared" si="3"/>
        <v/>
      </c>
      <c r="U874" s="38" t="str">
        <f t="shared" si="4"/>
        <v/>
      </c>
      <c r="V874" s="31" t="str">
        <f t="shared" si="5"/>
        <v/>
      </c>
      <c r="W874" s="39" t="str">
        <f>IFERROR(__xludf.DUMMYFUNCTION(" IF(Account!$F874&lt;&gt;"""", SPLIT(Account!$F874, "" ""), """")"),"")</f>
        <v/>
      </c>
      <c r="X874" s="40"/>
      <c r="Y874" s="40"/>
      <c r="Z874" s="40"/>
      <c r="AA874" s="40"/>
      <c r="AB874" s="40"/>
      <c r="AC874" s="40"/>
      <c r="AD874" s="40"/>
      <c r="AE874" s="40"/>
      <c r="AF874" s="40"/>
      <c r="AG874" s="40"/>
      <c r="AH874" s="40"/>
      <c r="AI874" s="40"/>
      <c r="AJ874" s="40"/>
      <c r="AK874" s="40"/>
    </row>
    <row r="875">
      <c r="A875" s="300"/>
      <c r="B875" s="300"/>
      <c r="C875" s="300"/>
      <c r="D875" s="300"/>
      <c r="E875" s="300"/>
      <c r="F875" s="329"/>
      <c r="G875" s="300"/>
      <c r="H875" s="300"/>
      <c r="I875" s="300"/>
      <c r="J875" s="300"/>
      <c r="K875" s="300"/>
      <c r="L875" s="329"/>
      <c r="M875" s="29" t="str">
        <f t="shared" si="1"/>
        <v/>
      </c>
      <c r="N875" s="31" t="str">
        <f>IFERROR(__xludf.DUMMYFUNCTION("IF(Account!$F875&lt;&gt;"""", VALUE(REGEXREPLACE($I875, ""\,"", ""."")), """")"),"")</f>
        <v/>
      </c>
      <c r="O875" s="33" t="str">
        <f>IF(Account!$F875&lt;&gt;"", DATEVALUE(MID($A875,4,3) &amp; LEFT($A875,3) &amp; RIGHT($A875,4)) + TIMEVALUE($B875), "")</f>
        <v/>
      </c>
      <c r="P875" s="34" t="str">
        <f>IF(Account!$F875&lt;&gt;"", DATEVALUE(MID($C875,4,3) &amp; LEFT($C875,3) &amp; RIGHT($C875,4)), "")</f>
        <v/>
      </c>
      <c r="Q875" s="35" t="str">
        <f t="array" ref="Q875">IF($R875&lt;&gt;"",IFERROR(INDEX(Investment!$A:$A,MATCH($R875,Investment!$H:$H,0))),)</f>
        <v/>
      </c>
      <c r="R875" s="36" t="str">
        <f t="array" ref="R875">IF(AND($Y875="change",$H875="EUR"),IF(AND($AA875="Crédit",$O875=$O876),$R876,IF(AND($AA875="Débit",$O875=$O874),$R874)),IF(OR(AND(OR($E875&lt;&gt;"",$M875=""),$N875&lt;&gt;0),$A875=""),IFERROR(INDEX(Investment!$H:$H,MATCH($E875,Investment!$F:$F,0))),IFERROR(INDEX($R876:$R1119,MATCH(SUBSTITUTE($I875,"-","",1),$K876:$K1119,0)),INDEX($R876:$R1119,MATCH($K875,$K876:$K1119,0)))))</f>
        <v/>
      </c>
      <c r="S875" s="35" t="str">
        <f t="shared" si="2"/>
        <v/>
      </c>
      <c r="T875" s="37" t="str">
        <f t="shared" si="3"/>
        <v/>
      </c>
      <c r="U875" s="38" t="str">
        <f t="shared" si="4"/>
        <v/>
      </c>
      <c r="V875" s="31" t="str">
        <f t="shared" si="5"/>
        <v/>
      </c>
      <c r="W875" s="39" t="str">
        <f>IFERROR(__xludf.DUMMYFUNCTION(" IF(Account!$F875&lt;&gt;"""", SPLIT(Account!$F875, "" ""), """")"),"")</f>
        <v/>
      </c>
      <c r="X875" s="40"/>
      <c r="Y875" s="40"/>
      <c r="Z875" s="40"/>
      <c r="AA875" s="40"/>
      <c r="AB875" s="40"/>
      <c r="AC875" s="40"/>
      <c r="AD875" s="40"/>
      <c r="AE875" s="40"/>
      <c r="AF875" s="40"/>
      <c r="AG875" s="40"/>
      <c r="AH875" s="40"/>
      <c r="AI875" s="40"/>
      <c r="AJ875" s="40"/>
      <c r="AK875" s="40"/>
    </row>
    <row r="876">
      <c r="A876" s="300"/>
      <c r="B876" s="300"/>
      <c r="C876" s="300"/>
      <c r="D876" s="300"/>
      <c r="E876" s="300"/>
      <c r="F876" s="329"/>
      <c r="G876" s="300"/>
      <c r="H876" s="300"/>
      <c r="I876" s="300"/>
      <c r="J876" s="300"/>
      <c r="K876" s="300"/>
      <c r="L876" s="329"/>
      <c r="M876" s="29" t="str">
        <f t="shared" si="1"/>
        <v/>
      </c>
      <c r="N876" s="31" t="str">
        <f>IFERROR(__xludf.DUMMYFUNCTION("IF(Account!$F876&lt;&gt;"""", VALUE(REGEXREPLACE($I876, ""\,"", ""."")), """")"),"")</f>
        <v/>
      </c>
      <c r="O876" s="33" t="str">
        <f>IF(Account!$F876&lt;&gt;"", DATEVALUE(MID($A876,4,3) &amp; LEFT($A876,3) &amp; RIGHT($A876,4)) + TIMEVALUE($B876), "")</f>
        <v/>
      </c>
      <c r="P876" s="34" t="str">
        <f>IF(Account!$F876&lt;&gt;"", DATEVALUE(MID($C876,4,3) &amp; LEFT($C876,3) &amp; RIGHT($C876,4)), "")</f>
        <v/>
      </c>
      <c r="Q876" s="35" t="str">
        <f t="array" ref="Q876">IF($R876&lt;&gt;"",IFERROR(INDEX(Investment!$A:$A,MATCH($R876,Investment!$H:$H,0))),)</f>
        <v/>
      </c>
      <c r="R876" s="36" t="str">
        <f t="array" ref="R876">IF(AND($Y876="change",$H876="EUR"),IF(AND($AA876="Crédit",$O876=$O877),$R877,IF(AND($AA876="Débit",$O876=$O875),$R875)),IF(OR(AND(OR($E876&lt;&gt;"",$M876=""),$N876&lt;&gt;0),$A876=""),IFERROR(INDEX(Investment!$H:$H,MATCH($E876,Investment!$F:$F,0))),IFERROR(INDEX($R877:$R1119,MATCH(SUBSTITUTE($I876,"-","",1),$K877:$K1119,0)),INDEX($R877:$R1119,MATCH($K876,$K877:$K1119,0)))))</f>
        <v/>
      </c>
      <c r="S876" s="35" t="str">
        <f t="shared" si="2"/>
        <v/>
      </c>
      <c r="T876" s="37" t="str">
        <f t="shared" si="3"/>
        <v/>
      </c>
      <c r="U876" s="38" t="str">
        <f t="shared" si="4"/>
        <v/>
      </c>
      <c r="V876" s="31" t="str">
        <f t="shared" si="5"/>
        <v/>
      </c>
      <c r="W876" s="39" t="str">
        <f>IFERROR(__xludf.DUMMYFUNCTION(" IF(Account!$F876&lt;&gt;"""", SPLIT(Account!$F876, "" ""), """")"),"")</f>
        <v/>
      </c>
      <c r="X876" s="40"/>
      <c r="Y876" s="40"/>
      <c r="Z876" s="40"/>
      <c r="AA876" s="40"/>
      <c r="AB876" s="40"/>
      <c r="AC876" s="40"/>
      <c r="AD876" s="40"/>
      <c r="AE876" s="40"/>
      <c r="AF876" s="40"/>
      <c r="AG876" s="40"/>
      <c r="AH876" s="40"/>
      <c r="AI876" s="40"/>
      <c r="AJ876" s="40"/>
      <c r="AK876" s="40"/>
    </row>
    <row r="877">
      <c r="A877" s="300"/>
      <c r="B877" s="300"/>
      <c r="C877" s="300"/>
      <c r="D877" s="300"/>
      <c r="E877" s="300"/>
      <c r="F877" s="329"/>
      <c r="G877" s="300"/>
      <c r="H877" s="300"/>
      <c r="I877" s="300"/>
      <c r="J877" s="300"/>
      <c r="K877" s="300"/>
      <c r="L877" s="329"/>
      <c r="M877" s="29" t="str">
        <f t="shared" si="1"/>
        <v/>
      </c>
      <c r="N877" s="31" t="str">
        <f>IFERROR(__xludf.DUMMYFUNCTION("IF(Account!$F877&lt;&gt;"""", VALUE(REGEXREPLACE($I877, ""\,"", ""."")), """")"),"")</f>
        <v/>
      </c>
      <c r="O877" s="33" t="str">
        <f>IF(Account!$F877&lt;&gt;"", DATEVALUE(MID($A877,4,3) &amp; LEFT($A877,3) &amp; RIGHT($A877,4)) + TIMEVALUE($B877), "")</f>
        <v/>
      </c>
      <c r="P877" s="34" t="str">
        <f>IF(Account!$F877&lt;&gt;"", DATEVALUE(MID($C877,4,3) &amp; LEFT($C877,3) &amp; RIGHT($C877,4)), "")</f>
        <v/>
      </c>
      <c r="Q877" s="35" t="str">
        <f t="array" ref="Q877">IF($R877&lt;&gt;"",IFERROR(INDEX(Investment!$A:$A,MATCH($R877,Investment!$H:$H,0))),)</f>
        <v/>
      </c>
      <c r="R877" s="36" t="str">
        <f t="array" ref="R877">IF(AND($Y877="change",$H877="EUR"),IF(AND($AA877="Crédit",$O877=$O878),$R878,IF(AND($AA877="Débit",$O877=$O876),$R876)),IF(OR(AND(OR($E877&lt;&gt;"",$M877=""),$N877&lt;&gt;0),$A877=""),IFERROR(INDEX(Investment!$H:$H,MATCH($E877,Investment!$F:$F,0))),IFERROR(INDEX($R878:$R1119,MATCH(SUBSTITUTE($I877,"-","",1),$K878:$K1119,0)),INDEX($R878:$R1119,MATCH($K877,$K878:$K1119,0)))))</f>
        <v/>
      </c>
      <c r="S877" s="35" t="str">
        <f t="shared" si="2"/>
        <v/>
      </c>
      <c r="T877" s="37" t="str">
        <f t="shared" si="3"/>
        <v/>
      </c>
      <c r="U877" s="38" t="str">
        <f t="shared" si="4"/>
        <v/>
      </c>
      <c r="V877" s="31" t="str">
        <f t="shared" si="5"/>
        <v/>
      </c>
      <c r="W877" s="39" t="str">
        <f>IFERROR(__xludf.DUMMYFUNCTION(" IF(Account!$F877&lt;&gt;"""", SPLIT(Account!$F877, "" ""), """")"),"")</f>
        <v/>
      </c>
      <c r="X877" s="40"/>
      <c r="Y877" s="40"/>
      <c r="Z877" s="40"/>
      <c r="AA877" s="40"/>
      <c r="AB877" s="40"/>
      <c r="AC877" s="40"/>
      <c r="AD877" s="40"/>
      <c r="AE877" s="40"/>
      <c r="AF877" s="40"/>
      <c r="AG877" s="40"/>
      <c r="AH877" s="40"/>
      <c r="AI877" s="40"/>
      <c r="AJ877" s="40"/>
      <c r="AK877" s="40"/>
    </row>
    <row r="878">
      <c r="A878" s="300"/>
      <c r="B878" s="300"/>
      <c r="C878" s="300"/>
      <c r="D878" s="300"/>
      <c r="E878" s="300"/>
      <c r="F878" s="329"/>
      <c r="G878" s="300"/>
      <c r="H878" s="300"/>
      <c r="I878" s="300"/>
      <c r="J878" s="300"/>
      <c r="K878" s="300"/>
      <c r="L878" s="329"/>
      <c r="M878" s="29" t="str">
        <f t="shared" si="1"/>
        <v/>
      </c>
      <c r="N878" s="31" t="str">
        <f>IFERROR(__xludf.DUMMYFUNCTION("IF(Account!$F878&lt;&gt;"""", VALUE(REGEXREPLACE($I878, ""\,"", ""."")), """")"),"")</f>
        <v/>
      </c>
      <c r="O878" s="33" t="str">
        <f>IF(Account!$F878&lt;&gt;"", DATEVALUE(MID($A878,4,3) &amp; LEFT($A878,3) &amp; RIGHT($A878,4)) + TIMEVALUE($B878), "")</f>
        <v/>
      </c>
      <c r="P878" s="34" t="str">
        <f>IF(Account!$F878&lt;&gt;"", DATEVALUE(MID($C878,4,3) &amp; LEFT($C878,3) &amp; RIGHT($C878,4)), "")</f>
        <v/>
      </c>
      <c r="Q878" s="35" t="str">
        <f t="array" ref="Q878">IF($R878&lt;&gt;"",IFERROR(INDEX(Investment!$A:$A,MATCH($R878,Investment!$H:$H,0))),)</f>
        <v/>
      </c>
      <c r="R878" s="36" t="str">
        <f t="array" ref="R878">IF(AND($Y878="change",$H878="EUR"),IF(AND($AA878="Crédit",$O878=$O879),$R879,IF(AND($AA878="Débit",$O878=$O877),$R877)),IF(OR(AND(OR($E878&lt;&gt;"",$M878=""),$N878&lt;&gt;0),$A878=""),IFERROR(INDEX(Investment!$H:$H,MATCH($E878,Investment!$F:$F,0))),IFERROR(INDEX($R879:$R1119,MATCH(SUBSTITUTE($I878,"-","",1),$K879:$K1119,0)),INDEX($R879:$R1119,MATCH($K878,$K879:$K1119,0)))))</f>
        <v/>
      </c>
      <c r="S878" s="35" t="str">
        <f t="shared" si="2"/>
        <v/>
      </c>
      <c r="T878" s="37" t="str">
        <f t="shared" si="3"/>
        <v/>
      </c>
      <c r="U878" s="38" t="str">
        <f t="shared" si="4"/>
        <v/>
      </c>
      <c r="V878" s="31" t="str">
        <f t="shared" si="5"/>
        <v/>
      </c>
      <c r="W878" s="39" t="str">
        <f>IFERROR(__xludf.DUMMYFUNCTION(" IF(Account!$F878&lt;&gt;"""", SPLIT(Account!$F878, "" ""), """")"),"")</f>
        <v/>
      </c>
      <c r="X878" s="40"/>
      <c r="Y878" s="40"/>
      <c r="Z878" s="40"/>
      <c r="AA878" s="40"/>
      <c r="AB878" s="40"/>
      <c r="AC878" s="40"/>
      <c r="AD878" s="40"/>
      <c r="AE878" s="40"/>
      <c r="AF878" s="40"/>
      <c r="AG878" s="40"/>
      <c r="AH878" s="40"/>
      <c r="AI878" s="40"/>
      <c r="AJ878" s="40"/>
      <c r="AK878" s="40"/>
    </row>
    <row r="879">
      <c r="A879" s="300"/>
      <c r="B879" s="300"/>
      <c r="C879" s="300"/>
      <c r="D879" s="300"/>
      <c r="E879" s="300"/>
      <c r="F879" s="329"/>
      <c r="G879" s="300"/>
      <c r="H879" s="300"/>
      <c r="I879" s="300"/>
      <c r="J879" s="300"/>
      <c r="K879" s="300"/>
      <c r="L879" s="329"/>
      <c r="M879" s="29" t="str">
        <f t="shared" si="1"/>
        <v/>
      </c>
      <c r="N879" s="31" t="str">
        <f>IFERROR(__xludf.DUMMYFUNCTION("IF(Account!$F879&lt;&gt;"""", VALUE(REGEXREPLACE($I879, ""\,"", ""."")), """")"),"")</f>
        <v/>
      </c>
      <c r="O879" s="33" t="str">
        <f>IF(Account!$F879&lt;&gt;"", DATEVALUE(MID($A879,4,3) &amp; LEFT($A879,3) &amp; RIGHT($A879,4)) + TIMEVALUE($B879), "")</f>
        <v/>
      </c>
      <c r="P879" s="34" t="str">
        <f>IF(Account!$F879&lt;&gt;"", DATEVALUE(MID($C879,4,3) &amp; LEFT($C879,3) &amp; RIGHT($C879,4)), "")</f>
        <v/>
      </c>
      <c r="Q879" s="35" t="str">
        <f t="array" ref="Q879">IF($R879&lt;&gt;"",IFERROR(INDEX(Investment!$A:$A,MATCH($R879,Investment!$H:$H,0))),)</f>
        <v/>
      </c>
      <c r="R879" s="36" t="str">
        <f t="array" ref="R879">IF(AND($Y879="change",$H879="EUR"),IF(AND($AA879="Crédit",$O879=$O880),$R880,IF(AND($AA879="Débit",$O879=$O878),$R878)),IF(OR(AND(OR($E879&lt;&gt;"",$M879=""),$N879&lt;&gt;0),$A879=""),IFERROR(INDEX(Investment!$H:$H,MATCH($E879,Investment!$F:$F,0))),IFERROR(INDEX($R880:$R1119,MATCH(SUBSTITUTE($I879,"-","",1),$K880:$K1119,0)),INDEX($R880:$R1119,MATCH($K879,$K880:$K1119,0)))))</f>
        <v/>
      </c>
      <c r="S879" s="35" t="str">
        <f t="shared" si="2"/>
        <v/>
      </c>
      <c r="T879" s="37" t="str">
        <f t="shared" si="3"/>
        <v/>
      </c>
      <c r="U879" s="38" t="str">
        <f t="shared" si="4"/>
        <v/>
      </c>
      <c r="V879" s="31" t="str">
        <f t="shared" si="5"/>
        <v/>
      </c>
      <c r="W879" s="39" t="str">
        <f>IFERROR(__xludf.DUMMYFUNCTION(" IF(Account!$F879&lt;&gt;"""", SPLIT(Account!$F879, "" ""), """")"),"")</f>
        <v/>
      </c>
      <c r="X879" s="40"/>
      <c r="Y879" s="40"/>
      <c r="Z879" s="40"/>
      <c r="AA879" s="40"/>
      <c r="AB879" s="40"/>
      <c r="AC879" s="40"/>
      <c r="AD879" s="40"/>
      <c r="AE879" s="40"/>
      <c r="AF879" s="40"/>
      <c r="AG879" s="40"/>
      <c r="AH879" s="40"/>
      <c r="AI879" s="40"/>
      <c r="AJ879" s="40"/>
      <c r="AK879" s="40"/>
    </row>
    <row r="880">
      <c r="A880" s="300"/>
      <c r="B880" s="300"/>
      <c r="C880" s="300"/>
      <c r="D880" s="300"/>
      <c r="E880" s="300"/>
      <c r="F880" s="329"/>
      <c r="G880" s="300"/>
      <c r="H880" s="300"/>
      <c r="I880" s="300"/>
      <c r="J880" s="300"/>
      <c r="K880" s="300"/>
      <c r="L880" s="329"/>
      <c r="M880" s="29" t="str">
        <f t="shared" si="1"/>
        <v/>
      </c>
      <c r="N880" s="31" t="str">
        <f>IFERROR(__xludf.DUMMYFUNCTION("IF(Account!$F880&lt;&gt;"""", VALUE(REGEXREPLACE($I880, ""\,"", ""."")), """")"),"")</f>
        <v/>
      </c>
      <c r="O880" s="33" t="str">
        <f>IF(Account!$F880&lt;&gt;"", DATEVALUE(MID($A880,4,3) &amp; LEFT($A880,3) &amp; RIGHT($A880,4)) + TIMEVALUE($B880), "")</f>
        <v/>
      </c>
      <c r="P880" s="34" t="str">
        <f>IF(Account!$F880&lt;&gt;"", DATEVALUE(MID($C880,4,3) &amp; LEFT($C880,3) &amp; RIGHT($C880,4)), "")</f>
        <v/>
      </c>
      <c r="Q880" s="35" t="str">
        <f t="array" ref="Q880">IF($R880&lt;&gt;"",IFERROR(INDEX(Investment!$A:$A,MATCH($R880,Investment!$H:$H,0))),)</f>
        <v/>
      </c>
      <c r="R880" s="36" t="str">
        <f t="array" ref="R880">IF(AND($Y880="change",$H880="EUR"),IF(AND($AA880="Crédit",$O880=$O881),$R881,IF(AND($AA880="Débit",$O880=$O879),$R879)),IF(OR(AND(OR($E880&lt;&gt;"",$M880=""),$N880&lt;&gt;0),$A880=""),IFERROR(INDEX(Investment!$H:$H,MATCH($E880,Investment!$F:$F,0))),IFERROR(INDEX($R881:$R1119,MATCH(SUBSTITUTE($I880,"-","",1),$K881:$K1119,0)),INDEX($R881:$R1119,MATCH($K880,$K881:$K1119,0)))))</f>
        <v/>
      </c>
      <c r="S880" s="35" t="str">
        <f t="shared" si="2"/>
        <v/>
      </c>
      <c r="T880" s="37" t="str">
        <f t="shared" si="3"/>
        <v/>
      </c>
      <c r="U880" s="38" t="str">
        <f t="shared" si="4"/>
        <v/>
      </c>
      <c r="V880" s="31" t="str">
        <f t="shared" si="5"/>
        <v/>
      </c>
      <c r="W880" s="39" t="str">
        <f>IFERROR(__xludf.DUMMYFUNCTION(" IF(Account!$F880&lt;&gt;"""", SPLIT(Account!$F880, "" ""), """")"),"")</f>
        <v/>
      </c>
      <c r="X880" s="40"/>
      <c r="Y880" s="40"/>
      <c r="Z880" s="40"/>
      <c r="AA880" s="40"/>
      <c r="AB880" s="40"/>
      <c r="AC880" s="40"/>
      <c r="AD880" s="40"/>
      <c r="AE880" s="40"/>
      <c r="AF880" s="40"/>
      <c r="AG880" s="40"/>
      <c r="AH880" s="40"/>
      <c r="AI880" s="40"/>
      <c r="AJ880" s="40"/>
      <c r="AK880" s="40"/>
    </row>
    <row r="881">
      <c r="A881" s="300"/>
      <c r="B881" s="300"/>
      <c r="C881" s="300"/>
      <c r="D881" s="300"/>
      <c r="E881" s="300"/>
      <c r="F881" s="329"/>
      <c r="G881" s="300"/>
      <c r="H881" s="300"/>
      <c r="I881" s="300"/>
      <c r="J881" s="300"/>
      <c r="K881" s="300"/>
      <c r="L881" s="329"/>
      <c r="M881" s="29" t="str">
        <f t="shared" si="1"/>
        <v/>
      </c>
      <c r="N881" s="31" t="str">
        <f>IFERROR(__xludf.DUMMYFUNCTION("IF(Account!$F881&lt;&gt;"""", VALUE(REGEXREPLACE($I881, ""\,"", ""."")), """")"),"")</f>
        <v/>
      </c>
      <c r="O881" s="33" t="str">
        <f>IF(Account!$F881&lt;&gt;"", DATEVALUE(MID($A881,4,3) &amp; LEFT($A881,3) &amp; RIGHT($A881,4)) + TIMEVALUE($B881), "")</f>
        <v/>
      </c>
      <c r="P881" s="34" t="str">
        <f>IF(Account!$F881&lt;&gt;"", DATEVALUE(MID($C881,4,3) &amp; LEFT($C881,3) &amp; RIGHT($C881,4)), "")</f>
        <v/>
      </c>
      <c r="Q881" s="35" t="str">
        <f t="array" ref="Q881">IF($R881&lt;&gt;"",IFERROR(INDEX(Investment!$A:$A,MATCH($R881,Investment!$H:$H,0))),)</f>
        <v/>
      </c>
      <c r="R881" s="36" t="str">
        <f t="array" ref="R881">IF(AND($Y881="change",$H881="EUR"),IF(AND($AA881="Crédit",$O881=$O882),$R882,IF(AND($AA881="Débit",$O881=$O880),$R880)),IF(OR(AND(OR($E881&lt;&gt;"",$M881=""),$N881&lt;&gt;0),$A881=""),IFERROR(INDEX(Investment!$H:$H,MATCH($E881,Investment!$F:$F,0))),IFERROR(INDEX($R882:$R1119,MATCH(SUBSTITUTE($I881,"-","",1),$K882:$K1119,0)),INDEX($R882:$R1119,MATCH($K881,$K882:$K1119,0)))))</f>
        <v/>
      </c>
      <c r="S881" s="35" t="str">
        <f t="shared" si="2"/>
        <v/>
      </c>
      <c r="T881" s="37" t="str">
        <f t="shared" si="3"/>
        <v/>
      </c>
      <c r="U881" s="38" t="str">
        <f t="shared" si="4"/>
        <v/>
      </c>
      <c r="V881" s="31" t="str">
        <f t="shared" si="5"/>
        <v/>
      </c>
      <c r="W881" s="39" t="str">
        <f>IFERROR(__xludf.DUMMYFUNCTION(" IF(Account!$F881&lt;&gt;"""", SPLIT(Account!$F881, "" ""), """")"),"")</f>
        <v/>
      </c>
      <c r="X881" s="40"/>
      <c r="Y881" s="40"/>
      <c r="Z881" s="40"/>
      <c r="AA881" s="40"/>
      <c r="AB881" s="40"/>
      <c r="AC881" s="40"/>
      <c r="AD881" s="40"/>
      <c r="AE881" s="40"/>
      <c r="AF881" s="40"/>
      <c r="AG881" s="40"/>
      <c r="AH881" s="40"/>
      <c r="AI881" s="40"/>
      <c r="AJ881" s="40"/>
      <c r="AK881" s="40"/>
    </row>
    <row r="882">
      <c r="A882" s="300"/>
      <c r="B882" s="300"/>
      <c r="C882" s="300"/>
      <c r="D882" s="300"/>
      <c r="E882" s="300"/>
      <c r="F882" s="329"/>
      <c r="G882" s="300"/>
      <c r="H882" s="300"/>
      <c r="I882" s="300"/>
      <c r="J882" s="300"/>
      <c r="K882" s="300"/>
      <c r="L882" s="329"/>
      <c r="M882" s="29" t="str">
        <f t="shared" si="1"/>
        <v/>
      </c>
      <c r="N882" s="31" t="str">
        <f>IFERROR(__xludf.DUMMYFUNCTION("IF(Account!$F882&lt;&gt;"""", VALUE(REGEXREPLACE($I882, ""\,"", ""."")), """")"),"")</f>
        <v/>
      </c>
      <c r="O882" s="33" t="str">
        <f>IF(Account!$F882&lt;&gt;"", DATEVALUE(MID($A882,4,3) &amp; LEFT($A882,3) &amp; RIGHT($A882,4)) + TIMEVALUE($B882), "")</f>
        <v/>
      </c>
      <c r="P882" s="34" t="str">
        <f>IF(Account!$F882&lt;&gt;"", DATEVALUE(MID($C882,4,3) &amp; LEFT($C882,3) &amp; RIGHT($C882,4)), "")</f>
        <v/>
      </c>
      <c r="Q882" s="35" t="str">
        <f t="array" ref="Q882">IF($R882&lt;&gt;"",IFERROR(INDEX(Investment!$A:$A,MATCH($R882,Investment!$H:$H,0))),)</f>
        <v/>
      </c>
      <c r="R882" s="36" t="str">
        <f t="array" ref="R882">IF(AND($Y882="change",$H882="EUR"),IF(AND($AA882="Crédit",$O882=$O883),$R883,IF(AND($AA882="Débit",$O882=$O881),$R881)),IF(OR(AND(OR($E882&lt;&gt;"",$M882=""),$N882&lt;&gt;0),$A882=""),IFERROR(INDEX(Investment!$H:$H,MATCH($E882,Investment!$F:$F,0))),IFERROR(INDEX($R883:$R1119,MATCH(SUBSTITUTE($I882,"-","",1),$K883:$K1119,0)),INDEX($R883:$R1119,MATCH($K882,$K883:$K1119,0)))))</f>
        <v/>
      </c>
      <c r="S882" s="35" t="str">
        <f t="shared" si="2"/>
        <v/>
      </c>
      <c r="T882" s="37" t="str">
        <f t="shared" si="3"/>
        <v/>
      </c>
      <c r="U882" s="38" t="str">
        <f t="shared" si="4"/>
        <v/>
      </c>
      <c r="V882" s="31" t="str">
        <f t="shared" si="5"/>
        <v/>
      </c>
      <c r="W882" s="39" t="str">
        <f>IFERROR(__xludf.DUMMYFUNCTION(" IF(Account!$F882&lt;&gt;"""", SPLIT(Account!$F882, "" ""), """")"),"")</f>
        <v/>
      </c>
      <c r="X882" s="40"/>
      <c r="Y882" s="40"/>
      <c r="Z882" s="40"/>
      <c r="AA882" s="40"/>
      <c r="AB882" s="40"/>
      <c r="AC882" s="40"/>
      <c r="AD882" s="40"/>
      <c r="AE882" s="40"/>
      <c r="AF882" s="40"/>
      <c r="AG882" s="40"/>
      <c r="AH882" s="40"/>
      <c r="AI882" s="40"/>
      <c r="AJ882" s="40"/>
      <c r="AK882" s="40"/>
    </row>
    <row r="883">
      <c r="A883" s="300"/>
      <c r="B883" s="300"/>
      <c r="C883" s="300"/>
      <c r="D883" s="300"/>
      <c r="E883" s="300"/>
      <c r="F883" s="329"/>
      <c r="G883" s="300"/>
      <c r="H883" s="300"/>
      <c r="I883" s="300"/>
      <c r="J883" s="300"/>
      <c r="K883" s="300"/>
      <c r="L883" s="329"/>
      <c r="M883" s="29" t="str">
        <f t="shared" si="1"/>
        <v/>
      </c>
      <c r="N883" s="31" t="str">
        <f>IFERROR(__xludf.DUMMYFUNCTION("IF(Account!$F883&lt;&gt;"""", VALUE(REGEXREPLACE($I883, ""\,"", ""."")), """")"),"")</f>
        <v/>
      </c>
      <c r="O883" s="33" t="str">
        <f>IF(Account!$F883&lt;&gt;"", DATEVALUE(MID($A883,4,3) &amp; LEFT($A883,3) &amp; RIGHT($A883,4)) + TIMEVALUE($B883), "")</f>
        <v/>
      </c>
      <c r="P883" s="34" t="str">
        <f>IF(Account!$F883&lt;&gt;"", DATEVALUE(MID($C883,4,3) &amp; LEFT($C883,3) &amp; RIGHT($C883,4)), "")</f>
        <v/>
      </c>
      <c r="Q883" s="35" t="str">
        <f t="array" ref="Q883">IF($R883&lt;&gt;"",IFERROR(INDEX(Investment!$A:$A,MATCH($R883,Investment!$H:$H,0))),)</f>
        <v/>
      </c>
      <c r="R883" s="36" t="str">
        <f t="array" ref="R883">IF(AND($Y883="change",$H883="EUR"),IF(AND($AA883="Crédit",$O883=$O884),$R884,IF(AND($AA883="Débit",$O883=$O882),$R882)),IF(OR(AND(OR($E883&lt;&gt;"",$M883=""),$N883&lt;&gt;0),$A883=""),IFERROR(INDEX(Investment!$H:$H,MATCH($E883,Investment!$F:$F,0))),IFERROR(INDEX($R884:$R1119,MATCH(SUBSTITUTE($I883,"-","",1),$K884:$K1119,0)),INDEX($R884:$R1119,MATCH($K883,$K884:$K1119,0)))))</f>
        <v/>
      </c>
      <c r="S883" s="35" t="str">
        <f t="shared" si="2"/>
        <v/>
      </c>
      <c r="T883" s="37" t="str">
        <f t="shared" si="3"/>
        <v/>
      </c>
      <c r="U883" s="38" t="str">
        <f t="shared" si="4"/>
        <v/>
      </c>
      <c r="V883" s="31" t="str">
        <f t="shared" si="5"/>
        <v/>
      </c>
      <c r="W883" s="39" t="str">
        <f>IFERROR(__xludf.DUMMYFUNCTION(" IF(Account!$F883&lt;&gt;"""", SPLIT(Account!$F883, "" ""), """")"),"")</f>
        <v/>
      </c>
      <c r="X883" s="40"/>
      <c r="Y883" s="40"/>
      <c r="Z883" s="40"/>
      <c r="AA883" s="40"/>
      <c r="AB883" s="40"/>
      <c r="AC883" s="40"/>
      <c r="AD883" s="40"/>
      <c r="AE883" s="40"/>
      <c r="AF883" s="40"/>
      <c r="AG883" s="40"/>
      <c r="AH883" s="40"/>
      <c r="AI883" s="40"/>
      <c r="AJ883" s="40"/>
      <c r="AK883" s="40"/>
    </row>
    <row r="884">
      <c r="A884" s="300"/>
      <c r="B884" s="300"/>
      <c r="C884" s="300"/>
      <c r="D884" s="300"/>
      <c r="E884" s="300"/>
      <c r="F884" s="329"/>
      <c r="G884" s="300"/>
      <c r="H884" s="300"/>
      <c r="I884" s="300"/>
      <c r="J884" s="300"/>
      <c r="K884" s="300"/>
      <c r="L884" s="329"/>
      <c r="M884" s="29" t="str">
        <f t="shared" si="1"/>
        <v/>
      </c>
      <c r="N884" s="31" t="str">
        <f>IFERROR(__xludf.DUMMYFUNCTION("IF(Account!$F884&lt;&gt;"""", VALUE(REGEXREPLACE($I884, ""\,"", ""."")), """")"),"")</f>
        <v/>
      </c>
      <c r="O884" s="33" t="str">
        <f>IF(Account!$F884&lt;&gt;"", DATEVALUE(MID($A884,4,3) &amp; LEFT($A884,3) &amp; RIGHT($A884,4)) + TIMEVALUE($B884), "")</f>
        <v/>
      </c>
      <c r="P884" s="34" t="str">
        <f>IF(Account!$F884&lt;&gt;"", DATEVALUE(MID($C884,4,3) &amp; LEFT($C884,3) &amp; RIGHT($C884,4)), "")</f>
        <v/>
      </c>
      <c r="Q884" s="35" t="str">
        <f t="array" ref="Q884">IF($R884&lt;&gt;"",IFERROR(INDEX(Investment!$A:$A,MATCH($R884,Investment!$H:$H,0))),)</f>
        <v/>
      </c>
      <c r="R884" s="36" t="str">
        <f t="array" ref="R884">IF(AND($Y884="change",$H884="EUR"),IF(AND($AA884="Crédit",$O884=$O885),$R885,IF(AND($AA884="Débit",$O884=$O883),$R883)),IF(OR(AND(OR($E884&lt;&gt;"",$M884=""),$N884&lt;&gt;0),$A884=""),IFERROR(INDEX(Investment!$H:$H,MATCH($E884,Investment!$F:$F,0))),IFERROR(INDEX($R885:$R1119,MATCH(SUBSTITUTE($I884,"-","",1),$K885:$K1119,0)),INDEX($R885:$R1119,MATCH($K884,$K885:$K1119,0)))))</f>
        <v/>
      </c>
      <c r="S884" s="35" t="str">
        <f t="shared" si="2"/>
        <v/>
      </c>
      <c r="T884" s="37" t="str">
        <f t="shared" si="3"/>
        <v/>
      </c>
      <c r="U884" s="38" t="str">
        <f t="shared" si="4"/>
        <v/>
      </c>
      <c r="V884" s="31" t="str">
        <f t="shared" si="5"/>
        <v/>
      </c>
      <c r="W884" s="39" t="str">
        <f>IFERROR(__xludf.DUMMYFUNCTION(" IF(Account!$F884&lt;&gt;"""", SPLIT(Account!$F884, "" ""), """")"),"")</f>
        <v/>
      </c>
      <c r="X884" s="40"/>
      <c r="Y884" s="40"/>
      <c r="Z884" s="40"/>
      <c r="AA884" s="40"/>
      <c r="AB884" s="40"/>
      <c r="AC884" s="40"/>
      <c r="AD884" s="40"/>
      <c r="AE884" s="40"/>
      <c r="AF884" s="40"/>
      <c r="AG884" s="40"/>
      <c r="AH884" s="40"/>
      <c r="AI884" s="40"/>
      <c r="AJ884" s="40"/>
      <c r="AK884" s="40"/>
    </row>
    <row r="885">
      <c r="A885" s="300"/>
      <c r="B885" s="300"/>
      <c r="C885" s="300"/>
      <c r="D885" s="300"/>
      <c r="E885" s="300"/>
      <c r="F885" s="329"/>
      <c r="G885" s="300"/>
      <c r="H885" s="300"/>
      <c r="I885" s="300"/>
      <c r="J885" s="300"/>
      <c r="K885" s="300"/>
      <c r="L885" s="329"/>
      <c r="M885" s="29" t="str">
        <f t="shared" si="1"/>
        <v/>
      </c>
      <c r="N885" s="31" t="str">
        <f>IFERROR(__xludf.DUMMYFUNCTION("IF(Account!$F885&lt;&gt;"""", VALUE(REGEXREPLACE($I885, ""\,"", ""."")), """")"),"")</f>
        <v/>
      </c>
      <c r="O885" s="33" t="str">
        <f>IF(Account!$F885&lt;&gt;"", DATEVALUE(MID($A885,4,3) &amp; LEFT($A885,3) &amp; RIGHT($A885,4)) + TIMEVALUE($B885), "")</f>
        <v/>
      </c>
      <c r="P885" s="34" t="str">
        <f>IF(Account!$F885&lt;&gt;"", DATEVALUE(MID($C885,4,3) &amp; LEFT($C885,3) &amp; RIGHT($C885,4)), "")</f>
        <v/>
      </c>
      <c r="Q885" s="35" t="str">
        <f t="array" ref="Q885">IF($R885&lt;&gt;"",IFERROR(INDEX(Investment!$A:$A,MATCH($R885,Investment!$H:$H,0))),)</f>
        <v/>
      </c>
      <c r="R885" s="36" t="str">
        <f t="array" ref="R885">IF(AND($Y885="change",$H885="EUR"),IF(AND($AA885="Crédit",$O885=$O886),$R886,IF(AND($AA885="Débit",$O885=$O884),$R884)),IF(OR(AND(OR($E885&lt;&gt;"",$M885=""),$N885&lt;&gt;0),$A885=""),IFERROR(INDEX(Investment!$H:$H,MATCH($E885,Investment!$F:$F,0))),IFERROR(INDEX($R886:$R1119,MATCH(SUBSTITUTE($I885,"-","",1),$K886:$K1119,0)),INDEX($R886:$R1119,MATCH($K885,$K886:$K1119,0)))))</f>
        <v/>
      </c>
      <c r="S885" s="35" t="str">
        <f t="shared" si="2"/>
        <v/>
      </c>
      <c r="T885" s="37" t="str">
        <f t="shared" si="3"/>
        <v/>
      </c>
      <c r="U885" s="38" t="str">
        <f t="shared" si="4"/>
        <v/>
      </c>
      <c r="V885" s="31" t="str">
        <f t="shared" si="5"/>
        <v/>
      </c>
      <c r="W885" s="39" t="str">
        <f>IFERROR(__xludf.DUMMYFUNCTION(" IF(Account!$F885&lt;&gt;"""", SPLIT(Account!$F885, "" ""), """")"),"")</f>
        <v/>
      </c>
      <c r="X885" s="40"/>
      <c r="Y885" s="40"/>
      <c r="Z885" s="40"/>
      <c r="AA885" s="40"/>
      <c r="AB885" s="40"/>
      <c r="AC885" s="40"/>
      <c r="AD885" s="40"/>
      <c r="AE885" s="40"/>
      <c r="AF885" s="40"/>
      <c r="AG885" s="40"/>
      <c r="AH885" s="40"/>
      <c r="AI885" s="40"/>
      <c r="AJ885" s="40"/>
      <c r="AK885" s="40"/>
    </row>
    <row r="886">
      <c r="A886" s="300"/>
      <c r="B886" s="300"/>
      <c r="C886" s="300"/>
      <c r="D886" s="300"/>
      <c r="E886" s="300"/>
      <c r="F886" s="329"/>
      <c r="G886" s="300"/>
      <c r="H886" s="300"/>
      <c r="I886" s="300"/>
      <c r="J886" s="300"/>
      <c r="K886" s="300"/>
      <c r="L886" s="329"/>
      <c r="M886" s="29" t="str">
        <f t="shared" si="1"/>
        <v/>
      </c>
      <c r="N886" s="31" t="str">
        <f>IFERROR(__xludf.DUMMYFUNCTION("IF(Account!$F886&lt;&gt;"""", VALUE(REGEXREPLACE($I886, ""\,"", ""."")), """")"),"")</f>
        <v/>
      </c>
      <c r="O886" s="33" t="str">
        <f>IF(Account!$F886&lt;&gt;"", DATEVALUE(MID($A886,4,3) &amp; LEFT($A886,3) &amp; RIGHT($A886,4)) + TIMEVALUE($B886), "")</f>
        <v/>
      </c>
      <c r="P886" s="34" t="str">
        <f>IF(Account!$F886&lt;&gt;"", DATEVALUE(MID($C886,4,3) &amp; LEFT($C886,3) &amp; RIGHT($C886,4)), "")</f>
        <v/>
      </c>
      <c r="Q886" s="35" t="str">
        <f t="array" ref="Q886">IF($R886&lt;&gt;"",IFERROR(INDEX(Investment!$A:$A,MATCH($R886,Investment!$H:$H,0))),)</f>
        <v/>
      </c>
      <c r="R886" s="36" t="str">
        <f t="array" ref="R886">IF(AND($Y886="change",$H886="EUR"),IF(AND($AA886="Crédit",$O886=$O887),$R887,IF(AND($AA886="Débit",$O886=$O885),$R885)),IF(OR(AND(OR($E886&lt;&gt;"",$M886=""),$N886&lt;&gt;0),$A886=""),IFERROR(INDEX(Investment!$H:$H,MATCH($E886,Investment!$F:$F,0))),IFERROR(INDEX($R887:$R1119,MATCH(SUBSTITUTE($I886,"-","",1),$K887:$K1119,0)),INDEX($R887:$R1119,MATCH($K886,$K887:$K1119,0)))))</f>
        <v/>
      </c>
      <c r="S886" s="35" t="str">
        <f t="shared" si="2"/>
        <v/>
      </c>
      <c r="T886" s="37" t="str">
        <f t="shared" si="3"/>
        <v/>
      </c>
      <c r="U886" s="38" t="str">
        <f t="shared" si="4"/>
        <v/>
      </c>
      <c r="V886" s="31" t="str">
        <f t="shared" si="5"/>
        <v/>
      </c>
      <c r="W886" s="39" t="str">
        <f>IFERROR(__xludf.DUMMYFUNCTION(" IF(Account!$F886&lt;&gt;"""", SPLIT(Account!$F886, "" ""), """")"),"")</f>
        <v/>
      </c>
      <c r="X886" s="40"/>
      <c r="Y886" s="40"/>
      <c r="Z886" s="40"/>
      <c r="AA886" s="40"/>
      <c r="AB886" s="40"/>
      <c r="AC886" s="40"/>
      <c r="AD886" s="40"/>
      <c r="AE886" s="40"/>
      <c r="AF886" s="40"/>
      <c r="AG886" s="40"/>
      <c r="AH886" s="40"/>
      <c r="AI886" s="40"/>
      <c r="AJ886" s="40"/>
      <c r="AK886" s="40"/>
    </row>
    <row r="887">
      <c r="A887" s="300"/>
      <c r="B887" s="300"/>
      <c r="C887" s="300"/>
      <c r="D887" s="300"/>
      <c r="E887" s="300"/>
      <c r="F887" s="329"/>
      <c r="G887" s="300"/>
      <c r="H887" s="300"/>
      <c r="I887" s="300"/>
      <c r="J887" s="300"/>
      <c r="K887" s="300"/>
      <c r="L887" s="329"/>
      <c r="M887" s="29" t="str">
        <f t="shared" si="1"/>
        <v/>
      </c>
      <c r="N887" s="31" t="str">
        <f>IFERROR(__xludf.DUMMYFUNCTION("IF(Account!$F887&lt;&gt;"""", VALUE(REGEXREPLACE($I887, ""\,"", ""."")), """")"),"")</f>
        <v/>
      </c>
      <c r="O887" s="33" t="str">
        <f>IF(Account!$F887&lt;&gt;"", DATEVALUE(MID($A887,4,3) &amp; LEFT($A887,3) &amp; RIGHT($A887,4)) + TIMEVALUE($B887), "")</f>
        <v/>
      </c>
      <c r="P887" s="34" t="str">
        <f>IF(Account!$F887&lt;&gt;"", DATEVALUE(MID($C887,4,3) &amp; LEFT($C887,3) &amp; RIGHT($C887,4)), "")</f>
        <v/>
      </c>
      <c r="Q887" s="35" t="str">
        <f t="array" ref="Q887">IF($R887&lt;&gt;"",IFERROR(INDEX(Investment!$A:$A,MATCH($R887,Investment!$H:$H,0))),)</f>
        <v/>
      </c>
      <c r="R887" s="36" t="str">
        <f t="array" ref="R887">IF(AND($Y887="change",$H887="EUR"),IF(AND($AA887="Crédit",$O887=$O888),$R888,IF(AND($AA887="Débit",$O887=$O886),$R886)),IF(OR(AND(OR($E887&lt;&gt;"",$M887=""),$N887&lt;&gt;0),$A887=""),IFERROR(INDEX(Investment!$H:$H,MATCH($E887,Investment!$F:$F,0))),IFERROR(INDEX($R888:$R1119,MATCH(SUBSTITUTE($I887,"-","",1),$K888:$K1119,0)),INDEX($R888:$R1119,MATCH($K887,$K888:$K1119,0)))))</f>
        <v/>
      </c>
      <c r="S887" s="35" t="str">
        <f t="shared" si="2"/>
        <v/>
      </c>
      <c r="T887" s="37" t="str">
        <f t="shared" si="3"/>
        <v/>
      </c>
      <c r="U887" s="38" t="str">
        <f t="shared" si="4"/>
        <v/>
      </c>
      <c r="V887" s="31" t="str">
        <f t="shared" si="5"/>
        <v/>
      </c>
      <c r="W887" s="39" t="str">
        <f>IFERROR(__xludf.DUMMYFUNCTION(" IF(Account!$F887&lt;&gt;"""", SPLIT(Account!$F887, "" ""), """")"),"")</f>
        <v/>
      </c>
      <c r="X887" s="40"/>
      <c r="Y887" s="40"/>
      <c r="Z887" s="40"/>
      <c r="AA887" s="40"/>
      <c r="AB887" s="40"/>
      <c r="AC887" s="40"/>
      <c r="AD887" s="40"/>
      <c r="AE887" s="40"/>
      <c r="AF887" s="40"/>
      <c r="AG887" s="40"/>
      <c r="AH887" s="40"/>
      <c r="AI887" s="40"/>
      <c r="AJ887" s="40"/>
      <c r="AK887" s="40"/>
    </row>
    <row r="888">
      <c r="A888" s="300"/>
      <c r="B888" s="300"/>
      <c r="C888" s="300"/>
      <c r="D888" s="300"/>
      <c r="E888" s="300"/>
      <c r="F888" s="329"/>
      <c r="G888" s="300"/>
      <c r="H888" s="300"/>
      <c r="I888" s="300"/>
      <c r="J888" s="300"/>
      <c r="K888" s="300"/>
      <c r="L888" s="329"/>
      <c r="M888" s="29" t="str">
        <f t="shared" si="1"/>
        <v/>
      </c>
      <c r="N888" s="31" t="str">
        <f>IFERROR(__xludf.DUMMYFUNCTION("IF(Account!$F888&lt;&gt;"""", VALUE(REGEXREPLACE($I888, ""\,"", ""."")), """")"),"")</f>
        <v/>
      </c>
      <c r="O888" s="33" t="str">
        <f>IF(Account!$F888&lt;&gt;"", DATEVALUE(MID($A888,4,3) &amp; LEFT($A888,3) &amp; RIGHT($A888,4)) + TIMEVALUE($B888), "")</f>
        <v/>
      </c>
      <c r="P888" s="34" t="str">
        <f>IF(Account!$F888&lt;&gt;"", DATEVALUE(MID($C888,4,3) &amp; LEFT($C888,3) &amp; RIGHT($C888,4)), "")</f>
        <v/>
      </c>
      <c r="Q888" s="35" t="str">
        <f t="array" ref="Q888">IF($R888&lt;&gt;"",IFERROR(INDEX(Investment!$A:$A,MATCH($R888,Investment!$H:$H,0))),)</f>
        <v/>
      </c>
      <c r="R888" s="36" t="str">
        <f t="array" ref="R888">IF(AND($Y888="change",$H888="EUR"),IF(AND($AA888="Crédit",$O888=$O889),$R889,IF(AND($AA888="Débit",$O888=$O887),$R887)),IF(OR(AND(OR($E888&lt;&gt;"",$M888=""),$N888&lt;&gt;0),$A888=""),IFERROR(INDEX(Investment!$H:$H,MATCH($E888,Investment!$F:$F,0))),IFERROR(INDEX($R889:$R1119,MATCH(SUBSTITUTE($I888,"-","",1),$K889:$K1119,0)),INDEX($R889:$R1119,MATCH($K888,$K889:$K1119,0)))))</f>
        <v/>
      </c>
      <c r="S888" s="35" t="str">
        <f t="shared" si="2"/>
        <v/>
      </c>
      <c r="T888" s="37" t="str">
        <f t="shared" si="3"/>
        <v/>
      </c>
      <c r="U888" s="38" t="str">
        <f t="shared" si="4"/>
        <v/>
      </c>
      <c r="V888" s="31" t="str">
        <f t="shared" si="5"/>
        <v/>
      </c>
      <c r="W888" s="39" t="str">
        <f>IFERROR(__xludf.DUMMYFUNCTION(" IF(Account!$F888&lt;&gt;"""", SPLIT(Account!$F888, "" ""), """")"),"")</f>
        <v/>
      </c>
      <c r="X888" s="40"/>
      <c r="Y888" s="40"/>
      <c r="Z888" s="40"/>
      <c r="AA888" s="40"/>
      <c r="AB888" s="40"/>
      <c r="AC888" s="40"/>
      <c r="AD888" s="40"/>
      <c r="AE888" s="40"/>
      <c r="AF888" s="40"/>
      <c r="AG888" s="40"/>
      <c r="AH888" s="40"/>
      <c r="AI888" s="40"/>
      <c r="AJ888" s="40"/>
      <c r="AK888" s="40"/>
    </row>
    <row r="889">
      <c r="A889" s="300"/>
      <c r="B889" s="300"/>
      <c r="C889" s="300"/>
      <c r="D889" s="300"/>
      <c r="E889" s="300"/>
      <c r="F889" s="329"/>
      <c r="G889" s="300"/>
      <c r="H889" s="300"/>
      <c r="I889" s="300"/>
      <c r="J889" s="300"/>
      <c r="K889" s="300"/>
      <c r="L889" s="329"/>
      <c r="M889" s="29" t="str">
        <f t="shared" si="1"/>
        <v/>
      </c>
      <c r="N889" s="31" t="str">
        <f>IFERROR(__xludf.DUMMYFUNCTION("IF(Account!$F889&lt;&gt;"""", VALUE(REGEXREPLACE($I889, ""\,"", ""."")), """")"),"")</f>
        <v/>
      </c>
      <c r="O889" s="33" t="str">
        <f>IF(Account!$F889&lt;&gt;"", DATEVALUE(MID($A889,4,3) &amp; LEFT($A889,3) &amp; RIGHT($A889,4)) + TIMEVALUE($B889), "")</f>
        <v/>
      </c>
      <c r="P889" s="34" t="str">
        <f>IF(Account!$F889&lt;&gt;"", DATEVALUE(MID($C889,4,3) &amp; LEFT($C889,3) &amp; RIGHT($C889,4)), "")</f>
        <v/>
      </c>
      <c r="Q889" s="35" t="str">
        <f t="array" ref="Q889">IF($R889&lt;&gt;"",IFERROR(INDEX(Investment!$A:$A,MATCH($R889,Investment!$H:$H,0))),)</f>
        <v/>
      </c>
      <c r="R889" s="36" t="str">
        <f t="array" ref="R889">IF(AND($Y889="change",$H889="EUR"),IF(AND($AA889="Crédit",$O889=$O890),$R890,IF(AND($AA889="Débit",$O889=$O888),$R888)),IF(OR(AND(OR($E889&lt;&gt;"",$M889=""),$N889&lt;&gt;0),$A889=""),IFERROR(INDEX(Investment!$H:$H,MATCH($E889,Investment!$F:$F,0))),IFERROR(INDEX($R890:$R1119,MATCH(SUBSTITUTE($I889,"-","",1),$K890:$K1119,0)),INDEX($R890:$R1119,MATCH($K889,$K890:$K1119,0)))))</f>
        <v/>
      </c>
      <c r="S889" s="35" t="str">
        <f t="shared" si="2"/>
        <v/>
      </c>
      <c r="T889" s="37" t="str">
        <f t="shared" si="3"/>
        <v/>
      </c>
      <c r="U889" s="38" t="str">
        <f t="shared" si="4"/>
        <v/>
      </c>
      <c r="V889" s="31" t="str">
        <f t="shared" si="5"/>
        <v/>
      </c>
      <c r="W889" s="39" t="str">
        <f>IFERROR(__xludf.DUMMYFUNCTION(" IF(Account!$F889&lt;&gt;"""", SPLIT(Account!$F889, "" ""), """")"),"")</f>
        <v/>
      </c>
      <c r="X889" s="40"/>
      <c r="Y889" s="40"/>
      <c r="Z889" s="40"/>
      <c r="AA889" s="40"/>
      <c r="AB889" s="40"/>
      <c r="AC889" s="40"/>
      <c r="AD889" s="40"/>
      <c r="AE889" s="40"/>
      <c r="AF889" s="40"/>
      <c r="AG889" s="40"/>
      <c r="AH889" s="40"/>
      <c r="AI889" s="40"/>
      <c r="AJ889" s="40"/>
      <c r="AK889" s="40"/>
    </row>
    <row r="890">
      <c r="A890" s="300"/>
      <c r="B890" s="300"/>
      <c r="C890" s="300"/>
      <c r="D890" s="300"/>
      <c r="E890" s="300"/>
      <c r="F890" s="329"/>
      <c r="G890" s="300"/>
      <c r="H890" s="300"/>
      <c r="I890" s="300"/>
      <c r="J890" s="300"/>
      <c r="K890" s="300"/>
      <c r="L890" s="329"/>
      <c r="M890" s="29" t="str">
        <f t="shared" si="1"/>
        <v/>
      </c>
      <c r="N890" s="31" t="str">
        <f>IFERROR(__xludf.DUMMYFUNCTION("IF(Account!$F890&lt;&gt;"""", VALUE(REGEXREPLACE($I890, ""\,"", ""."")), """")"),"")</f>
        <v/>
      </c>
      <c r="O890" s="33" t="str">
        <f>IF(Account!$F890&lt;&gt;"", DATEVALUE(MID($A890,4,3) &amp; LEFT($A890,3) &amp; RIGHT($A890,4)) + TIMEVALUE($B890), "")</f>
        <v/>
      </c>
      <c r="P890" s="34" t="str">
        <f>IF(Account!$F890&lt;&gt;"", DATEVALUE(MID($C890,4,3) &amp; LEFT($C890,3) &amp; RIGHT($C890,4)), "")</f>
        <v/>
      </c>
      <c r="Q890" s="35" t="str">
        <f t="array" ref="Q890">IF($R890&lt;&gt;"",IFERROR(INDEX(Investment!$A:$A,MATCH($R890,Investment!$H:$H,0))),)</f>
        <v/>
      </c>
      <c r="R890" s="36" t="str">
        <f t="array" ref="R890">IF(AND($Y890="change",$H890="EUR"),IF(AND($AA890="Crédit",$O890=$O891),$R891,IF(AND($AA890="Débit",$O890=$O889),$R889)),IF(OR(AND(OR($E890&lt;&gt;"",$M890=""),$N890&lt;&gt;0),$A890=""),IFERROR(INDEX(Investment!$H:$H,MATCH($E890,Investment!$F:$F,0))),IFERROR(INDEX($R891:$R1119,MATCH(SUBSTITUTE($I890,"-","",1),$K891:$K1119,0)),INDEX($R891:$R1119,MATCH($K890,$K891:$K1119,0)))))</f>
        <v/>
      </c>
      <c r="S890" s="35" t="str">
        <f t="shared" si="2"/>
        <v/>
      </c>
      <c r="T890" s="37" t="str">
        <f t="shared" si="3"/>
        <v/>
      </c>
      <c r="U890" s="38" t="str">
        <f t="shared" si="4"/>
        <v/>
      </c>
      <c r="V890" s="31" t="str">
        <f t="shared" si="5"/>
        <v/>
      </c>
      <c r="W890" s="39" t="str">
        <f>IFERROR(__xludf.DUMMYFUNCTION(" IF(Account!$F890&lt;&gt;"""", SPLIT(Account!$F890, "" ""), """")"),"")</f>
        <v/>
      </c>
      <c r="X890" s="40"/>
      <c r="Y890" s="40"/>
      <c r="Z890" s="40"/>
      <c r="AA890" s="40"/>
      <c r="AB890" s="40"/>
      <c r="AC890" s="40"/>
      <c r="AD890" s="40"/>
      <c r="AE890" s="40"/>
      <c r="AF890" s="40"/>
      <c r="AG890" s="40"/>
      <c r="AH890" s="40"/>
      <c r="AI890" s="40"/>
      <c r="AJ890" s="40"/>
      <c r="AK890" s="40"/>
    </row>
    <row r="891">
      <c r="A891" s="300"/>
      <c r="B891" s="300"/>
      <c r="C891" s="300"/>
      <c r="D891" s="300"/>
      <c r="E891" s="300"/>
      <c r="F891" s="329"/>
      <c r="G891" s="300"/>
      <c r="H891" s="300"/>
      <c r="I891" s="300"/>
      <c r="J891" s="300"/>
      <c r="K891" s="300"/>
      <c r="L891" s="329"/>
      <c r="M891" s="29" t="str">
        <f t="shared" si="1"/>
        <v/>
      </c>
      <c r="N891" s="31" t="str">
        <f>IFERROR(__xludf.DUMMYFUNCTION("IF(Account!$F891&lt;&gt;"""", VALUE(REGEXREPLACE($I891, ""\,"", ""."")), """")"),"")</f>
        <v/>
      </c>
      <c r="O891" s="33" t="str">
        <f>IF(Account!$F891&lt;&gt;"", DATEVALUE(MID($A891,4,3) &amp; LEFT($A891,3) &amp; RIGHT($A891,4)) + TIMEVALUE($B891), "")</f>
        <v/>
      </c>
      <c r="P891" s="34" t="str">
        <f>IF(Account!$F891&lt;&gt;"", DATEVALUE(MID($C891,4,3) &amp; LEFT($C891,3) &amp; RIGHT($C891,4)), "")</f>
        <v/>
      </c>
      <c r="Q891" s="35" t="str">
        <f t="array" ref="Q891">IF($R891&lt;&gt;"",IFERROR(INDEX(Investment!$A:$A,MATCH($R891,Investment!$H:$H,0))),)</f>
        <v/>
      </c>
      <c r="R891" s="36" t="str">
        <f t="array" ref="R891">IF(AND($Y891="change",$H891="EUR"),IF(AND($AA891="Crédit",$O891=$O892),$R892,IF(AND($AA891="Débit",$O891=$O890),$R890)),IF(OR(AND(OR($E891&lt;&gt;"",$M891=""),$N891&lt;&gt;0),$A891=""),IFERROR(INDEX(Investment!$H:$H,MATCH($E891,Investment!$F:$F,0))),IFERROR(INDEX($R892:$R1119,MATCH(SUBSTITUTE($I891,"-","",1),$K892:$K1119,0)),INDEX($R892:$R1119,MATCH($K891,$K892:$K1119,0)))))</f>
        <v/>
      </c>
      <c r="S891" s="35" t="str">
        <f t="shared" si="2"/>
        <v/>
      </c>
      <c r="T891" s="37" t="str">
        <f t="shared" si="3"/>
        <v/>
      </c>
      <c r="U891" s="38" t="str">
        <f t="shared" si="4"/>
        <v/>
      </c>
      <c r="V891" s="31" t="str">
        <f t="shared" si="5"/>
        <v/>
      </c>
      <c r="W891" s="39" t="str">
        <f>IFERROR(__xludf.DUMMYFUNCTION(" IF(Account!$F891&lt;&gt;"""", SPLIT(Account!$F891, "" ""), """")"),"")</f>
        <v/>
      </c>
      <c r="X891" s="40"/>
      <c r="Y891" s="40"/>
      <c r="Z891" s="40"/>
      <c r="AA891" s="40"/>
      <c r="AB891" s="40"/>
      <c r="AC891" s="40"/>
      <c r="AD891" s="40"/>
      <c r="AE891" s="40"/>
      <c r="AF891" s="40"/>
      <c r="AG891" s="40"/>
      <c r="AH891" s="40"/>
      <c r="AI891" s="40"/>
      <c r="AJ891" s="40"/>
      <c r="AK891" s="40"/>
    </row>
    <row r="892">
      <c r="A892" s="300"/>
      <c r="B892" s="300"/>
      <c r="C892" s="300"/>
      <c r="D892" s="300"/>
      <c r="E892" s="300"/>
      <c r="F892" s="329"/>
      <c r="G892" s="300"/>
      <c r="H892" s="300"/>
      <c r="I892" s="300"/>
      <c r="J892" s="300"/>
      <c r="K892" s="300"/>
      <c r="L892" s="329"/>
      <c r="M892" s="29" t="str">
        <f t="shared" si="1"/>
        <v/>
      </c>
      <c r="N892" s="31" t="str">
        <f>IFERROR(__xludf.DUMMYFUNCTION("IF(Account!$F892&lt;&gt;"""", VALUE(REGEXREPLACE($I892, ""\,"", ""."")), """")"),"")</f>
        <v/>
      </c>
      <c r="O892" s="33" t="str">
        <f>IF(Account!$F892&lt;&gt;"", DATEVALUE(MID($A892,4,3) &amp; LEFT($A892,3) &amp; RIGHT($A892,4)) + TIMEVALUE($B892), "")</f>
        <v/>
      </c>
      <c r="P892" s="34" t="str">
        <f>IF(Account!$F892&lt;&gt;"", DATEVALUE(MID($C892,4,3) &amp; LEFT($C892,3) &amp; RIGHT($C892,4)), "")</f>
        <v/>
      </c>
      <c r="Q892" s="35" t="str">
        <f t="array" ref="Q892">IF($R892&lt;&gt;"",IFERROR(INDEX(Investment!$A:$A,MATCH($R892,Investment!$H:$H,0))),)</f>
        <v/>
      </c>
      <c r="R892" s="36" t="str">
        <f t="array" ref="R892">IF(AND($Y892="change",$H892="EUR"),IF(AND($AA892="Crédit",$O892=$O893),$R893,IF(AND($AA892="Débit",$O892=$O891),$R891)),IF(OR(AND(OR($E892&lt;&gt;"",$M892=""),$N892&lt;&gt;0),$A892=""),IFERROR(INDEX(Investment!$H:$H,MATCH($E892,Investment!$F:$F,0))),IFERROR(INDEX($R893:$R1119,MATCH(SUBSTITUTE($I892,"-","",1),$K893:$K1119,0)),INDEX($R893:$R1119,MATCH($K892,$K893:$K1119,0)))))</f>
        <v/>
      </c>
      <c r="S892" s="35" t="str">
        <f t="shared" si="2"/>
        <v/>
      </c>
      <c r="T892" s="37" t="str">
        <f t="shared" si="3"/>
        <v/>
      </c>
      <c r="U892" s="38" t="str">
        <f t="shared" si="4"/>
        <v/>
      </c>
      <c r="V892" s="31" t="str">
        <f t="shared" si="5"/>
        <v/>
      </c>
      <c r="W892" s="39" t="str">
        <f>IFERROR(__xludf.DUMMYFUNCTION(" IF(Account!$F892&lt;&gt;"""", SPLIT(Account!$F892, "" ""), """")"),"")</f>
        <v/>
      </c>
      <c r="X892" s="40"/>
      <c r="Y892" s="40"/>
      <c r="Z892" s="40"/>
      <c r="AA892" s="40"/>
      <c r="AB892" s="40"/>
      <c r="AC892" s="40"/>
      <c r="AD892" s="40"/>
      <c r="AE892" s="40"/>
      <c r="AF892" s="40"/>
      <c r="AG892" s="40"/>
      <c r="AH892" s="40"/>
      <c r="AI892" s="40"/>
      <c r="AJ892" s="40"/>
      <c r="AK892" s="40"/>
    </row>
    <row r="893">
      <c r="A893" s="300"/>
      <c r="B893" s="300"/>
      <c r="C893" s="300"/>
      <c r="D893" s="300"/>
      <c r="E893" s="300"/>
      <c r="F893" s="329"/>
      <c r="G893" s="300"/>
      <c r="H893" s="300"/>
      <c r="I893" s="300"/>
      <c r="J893" s="300"/>
      <c r="K893" s="300"/>
      <c r="L893" s="329"/>
      <c r="M893" s="29" t="str">
        <f t="shared" si="1"/>
        <v/>
      </c>
      <c r="N893" s="31" t="str">
        <f>IFERROR(__xludf.DUMMYFUNCTION("IF(Account!$F893&lt;&gt;"""", VALUE(REGEXREPLACE($I893, ""\,"", ""."")), """")"),"")</f>
        <v/>
      </c>
      <c r="O893" s="33" t="str">
        <f>IF(Account!$F893&lt;&gt;"", DATEVALUE(MID($A893,4,3) &amp; LEFT($A893,3) &amp; RIGHT($A893,4)) + TIMEVALUE($B893), "")</f>
        <v/>
      </c>
      <c r="P893" s="34" t="str">
        <f>IF(Account!$F893&lt;&gt;"", DATEVALUE(MID($C893,4,3) &amp; LEFT($C893,3) &amp; RIGHT($C893,4)), "")</f>
        <v/>
      </c>
      <c r="Q893" s="35" t="str">
        <f t="array" ref="Q893">IF($R893&lt;&gt;"",IFERROR(INDEX(Investment!$A:$A,MATCH($R893,Investment!$H:$H,0))),)</f>
        <v/>
      </c>
      <c r="R893" s="36" t="str">
        <f t="array" ref="R893">IF(AND($Y893="change",$H893="EUR"),IF(AND($AA893="Crédit",$O893=$O894),$R894,IF(AND($AA893="Débit",$O893=$O892),$R892)),IF(OR(AND(OR($E893&lt;&gt;"",$M893=""),$N893&lt;&gt;0),$A893=""),IFERROR(INDEX(Investment!$H:$H,MATCH($E893,Investment!$F:$F,0))),IFERROR(INDEX($R894:$R1119,MATCH(SUBSTITUTE($I893,"-","",1),$K894:$K1119,0)),INDEX($R894:$R1119,MATCH($K893,$K894:$K1119,0)))))</f>
        <v/>
      </c>
      <c r="S893" s="35" t="str">
        <f t="shared" si="2"/>
        <v/>
      </c>
      <c r="T893" s="37" t="str">
        <f t="shared" si="3"/>
        <v/>
      </c>
      <c r="U893" s="38" t="str">
        <f t="shared" si="4"/>
        <v/>
      </c>
      <c r="V893" s="31" t="str">
        <f t="shared" si="5"/>
        <v/>
      </c>
      <c r="W893" s="39" t="str">
        <f>IFERROR(__xludf.DUMMYFUNCTION(" IF(Account!$F893&lt;&gt;"""", SPLIT(Account!$F893, "" ""), """")"),"")</f>
        <v/>
      </c>
      <c r="X893" s="40"/>
      <c r="Y893" s="40"/>
      <c r="Z893" s="40"/>
      <c r="AA893" s="40"/>
      <c r="AB893" s="40"/>
      <c r="AC893" s="40"/>
      <c r="AD893" s="40"/>
      <c r="AE893" s="40"/>
      <c r="AF893" s="40"/>
      <c r="AG893" s="40"/>
      <c r="AH893" s="40"/>
      <c r="AI893" s="40"/>
      <c r="AJ893" s="40"/>
      <c r="AK893" s="40"/>
    </row>
    <row r="894">
      <c r="A894" s="300"/>
      <c r="B894" s="300"/>
      <c r="C894" s="300"/>
      <c r="D894" s="300"/>
      <c r="E894" s="300"/>
      <c r="F894" s="329"/>
      <c r="G894" s="300"/>
      <c r="H894" s="300"/>
      <c r="I894" s="300"/>
      <c r="J894" s="300"/>
      <c r="K894" s="300"/>
      <c r="L894" s="329"/>
      <c r="M894" s="29" t="str">
        <f t="shared" si="1"/>
        <v/>
      </c>
      <c r="N894" s="31" t="str">
        <f>IFERROR(__xludf.DUMMYFUNCTION("IF(Account!$F894&lt;&gt;"""", VALUE(REGEXREPLACE($I894, ""\,"", ""."")), """")"),"")</f>
        <v/>
      </c>
      <c r="O894" s="33" t="str">
        <f>IF(Account!$F894&lt;&gt;"", DATEVALUE(MID($A894,4,3) &amp; LEFT($A894,3) &amp; RIGHT($A894,4)) + TIMEVALUE($B894), "")</f>
        <v/>
      </c>
      <c r="P894" s="34" t="str">
        <f>IF(Account!$F894&lt;&gt;"", DATEVALUE(MID($C894,4,3) &amp; LEFT($C894,3) &amp; RIGHT($C894,4)), "")</f>
        <v/>
      </c>
      <c r="Q894" s="35" t="str">
        <f t="array" ref="Q894">IF($R894&lt;&gt;"",IFERROR(INDEX(Investment!$A:$A,MATCH($R894,Investment!$H:$H,0))),)</f>
        <v/>
      </c>
      <c r="R894" s="36" t="str">
        <f t="array" ref="R894">IF(AND($Y894="change",$H894="EUR"),IF(AND($AA894="Crédit",$O894=$O895),$R895,IF(AND($AA894="Débit",$O894=$O893),$R893)),IF(OR(AND(OR($E894&lt;&gt;"",$M894=""),$N894&lt;&gt;0),$A894=""),IFERROR(INDEX(Investment!$H:$H,MATCH($E894,Investment!$F:$F,0))),IFERROR(INDEX($R895:$R1119,MATCH(SUBSTITUTE($I894,"-","",1),$K895:$K1119,0)),INDEX($R895:$R1119,MATCH($K894,$K895:$K1119,0)))))</f>
        <v/>
      </c>
      <c r="S894" s="35" t="str">
        <f t="shared" si="2"/>
        <v/>
      </c>
      <c r="T894" s="37" t="str">
        <f t="shared" si="3"/>
        <v/>
      </c>
      <c r="U894" s="38" t="str">
        <f t="shared" si="4"/>
        <v/>
      </c>
      <c r="V894" s="31" t="str">
        <f t="shared" si="5"/>
        <v/>
      </c>
      <c r="W894" s="39" t="str">
        <f>IFERROR(__xludf.DUMMYFUNCTION(" IF(Account!$F894&lt;&gt;"""", SPLIT(Account!$F894, "" ""), """")"),"")</f>
        <v/>
      </c>
      <c r="X894" s="40"/>
      <c r="Y894" s="40"/>
      <c r="Z894" s="40"/>
      <c r="AA894" s="40"/>
      <c r="AB894" s="40"/>
      <c r="AC894" s="40"/>
      <c r="AD894" s="40"/>
      <c r="AE894" s="40"/>
      <c r="AF894" s="40"/>
      <c r="AG894" s="40"/>
      <c r="AH894" s="40"/>
      <c r="AI894" s="40"/>
      <c r="AJ894" s="40"/>
      <c r="AK894" s="40"/>
    </row>
    <row r="895">
      <c r="A895" s="300"/>
      <c r="B895" s="300"/>
      <c r="C895" s="300"/>
      <c r="D895" s="300"/>
      <c r="E895" s="300"/>
      <c r="F895" s="329"/>
      <c r="G895" s="300"/>
      <c r="H895" s="300"/>
      <c r="I895" s="300"/>
      <c r="J895" s="300"/>
      <c r="K895" s="300"/>
      <c r="L895" s="329"/>
      <c r="M895" s="29" t="str">
        <f t="shared" si="1"/>
        <v/>
      </c>
      <c r="N895" s="31" t="str">
        <f>IFERROR(__xludf.DUMMYFUNCTION("IF(Account!$F895&lt;&gt;"""", VALUE(REGEXREPLACE($I895, ""\,"", ""."")), """")"),"")</f>
        <v/>
      </c>
      <c r="O895" s="33" t="str">
        <f>IF(Account!$F895&lt;&gt;"", DATEVALUE(MID($A895,4,3) &amp; LEFT($A895,3) &amp; RIGHT($A895,4)) + TIMEVALUE($B895), "")</f>
        <v/>
      </c>
      <c r="P895" s="34" t="str">
        <f>IF(Account!$F895&lt;&gt;"", DATEVALUE(MID($C895,4,3) &amp; LEFT($C895,3) &amp; RIGHT($C895,4)), "")</f>
        <v/>
      </c>
      <c r="Q895" s="35" t="str">
        <f t="array" ref="Q895">IF($R895&lt;&gt;"",IFERROR(INDEX(Investment!$A:$A,MATCH($R895,Investment!$H:$H,0))),)</f>
        <v/>
      </c>
      <c r="R895" s="36" t="str">
        <f t="array" ref="R895">IF(AND($Y895="change",$H895="EUR"),IF(AND($AA895="Crédit",$O895=$O896),$R896,IF(AND($AA895="Débit",$O895=$O894),$R894)),IF(OR(AND(OR($E895&lt;&gt;"",$M895=""),$N895&lt;&gt;0),$A895=""),IFERROR(INDEX(Investment!$H:$H,MATCH($E895,Investment!$F:$F,0))),IFERROR(INDEX($R896:$R1119,MATCH(SUBSTITUTE($I895,"-","",1),$K896:$K1119,0)),INDEX($R896:$R1119,MATCH($K895,$K896:$K1119,0)))))</f>
        <v/>
      </c>
      <c r="S895" s="35" t="str">
        <f t="shared" si="2"/>
        <v/>
      </c>
      <c r="T895" s="37" t="str">
        <f t="shared" si="3"/>
        <v/>
      </c>
      <c r="U895" s="38" t="str">
        <f t="shared" si="4"/>
        <v/>
      </c>
      <c r="V895" s="31" t="str">
        <f t="shared" si="5"/>
        <v/>
      </c>
      <c r="W895" s="39" t="str">
        <f>IFERROR(__xludf.DUMMYFUNCTION(" IF(Account!$F895&lt;&gt;"""", SPLIT(Account!$F895, "" ""), """")"),"")</f>
        <v/>
      </c>
      <c r="X895" s="40"/>
      <c r="Y895" s="40"/>
      <c r="Z895" s="40"/>
      <c r="AA895" s="40"/>
      <c r="AB895" s="40"/>
      <c r="AC895" s="40"/>
      <c r="AD895" s="40"/>
      <c r="AE895" s="40"/>
      <c r="AF895" s="40"/>
      <c r="AG895" s="40"/>
      <c r="AH895" s="40"/>
      <c r="AI895" s="40"/>
      <c r="AJ895" s="40"/>
      <c r="AK895" s="40"/>
    </row>
    <row r="896">
      <c r="A896" s="300"/>
      <c r="B896" s="300"/>
      <c r="C896" s="300"/>
      <c r="D896" s="300"/>
      <c r="E896" s="300"/>
      <c r="F896" s="329"/>
      <c r="G896" s="300"/>
      <c r="H896" s="300"/>
      <c r="I896" s="300"/>
      <c r="J896" s="300"/>
      <c r="K896" s="300"/>
      <c r="L896" s="329"/>
      <c r="M896" s="29" t="str">
        <f t="shared" si="1"/>
        <v/>
      </c>
      <c r="N896" s="31" t="str">
        <f>IFERROR(__xludf.DUMMYFUNCTION("IF(Account!$F896&lt;&gt;"""", VALUE(REGEXREPLACE($I896, ""\,"", ""."")), """")"),"")</f>
        <v/>
      </c>
      <c r="O896" s="33" t="str">
        <f>IF(Account!$F896&lt;&gt;"", DATEVALUE(MID($A896,4,3) &amp; LEFT($A896,3) &amp; RIGHT($A896,4)) + TIMEVALUE($B896), "")</f>
        <v/>
      </c>
      <c r="P896" s="34" t="str">
        <f>IF(Account!$F896&lt;&gt;"", DATEVALUE(MID($C896,4,3) &amp; LEFT($C896,3) &amp; RIGHT($C896,4)), "")</f>
        <v/>
      </c>
      <c r="Q896" s="35" t="str">
        <f t="array" ref="Q896">IF($R896&lt;&gt;"",IFERROR(INDEX(Investment!$A:$A,MATCH($R896,Investment!$H:$H,0))),)</f>
        <v/>
      </c>
      <c r="R896" s="36" t="str">
        <f t="array" ref="R896">IF(AND($Y896="change",$H896="EUR"),IF(AND($AA896="Crédit",$O896=$O897),$R897,IF(AND($AA896="Débit",$O896=$O895),$R895)),IF(OR(AND(OR($E896&lt;&gt;"",$M896=""),$N896&lt;&gt;0),$A896=""),IFERROR(INDEX(Investment!$H:$H,MATCH($E896,Investment!$F:$F,0))),IFERROR(INDEX($R897:$R1119,MATCH(SUBSTITUTE($I896,"-","",1),$K897:$K1119,0)),INDEX($R897:$R1119,MATCH($K896,$K897:$K1119,0)))))</f>
        <v/>
      </c>
      <c r="S896" s="35" t="str">
        <f t="shared" si="2"/>
        <v/>
      </c>
      <c r="T896" s="37" t="str">
        <f t="shared" si="3"/>
        <v/>
      </c>
      <c r="U896" s="38" t="str">
        <f t="shared" si="4"/>
        <v/>
      </c>
      <c r="V896" s="31" t="str">
        <f t="shared" si="5"/>
        <v/>
      </c>
      <c r="W896" s="39" t="str">
        <f>IFERROR(__xludf.DUMMYFUNCTION(" IF(Account!$F896&lt;&gt;"""", SPLIT(Account!$F896, "" ""), """")"),"")</f>
        <v/>
      </c>
      <c r="X896" s="40"/>
      <c r="Y896" s="40"/>
      <c r="Z896" s="40"/>
      <c r="AA896" s="40"/>
      <c r="AB896" s="40"/>
      <c r="AC896" s="40"/>
      <c r="AD896" s="40"/>
      <c r="AE896" s="40"/>
      <c r="AF896" s="40"/>
      <c r="AG896" s="40"/>
      <c r="AH896" s="40"/>
      <c r="AI896" s="40"/>
      <c r="AJ896" s="40"/>
      <c r="AK896" s="40"/>
    </row>
    <row r="897">
      <c r="A897" s="300"/>
      <c r="B897" s="300"/>
      <c r="C897" s="300"/>
      <c r="D897" s="300"/>
      <c r="E897" s="300"/>
      <c r="F897" s="329"/>
      <c r="G897" s="300"/>
      <c r="H897" s="300"/>
      <c r="I897" s="300"/>
      <c r="J897" s="300"/>
      <c r="K897" s="300"/>
      <c r="L897" s="329"/>
      <c r="M897" s="29" t="str">
        <f t="shared" si="1"/>
        <v/>
      </c>
      <c r="N897" s="31" t="str">
        <f>IFERROR(__xludf.DUMMYFUNCTION("IF(Account!$F897&lt;&gt;"""", VALUE(REGEXREPLACE($I897, ""\,"", ""."")), """")"),"")</f>
        <v/>
      </c>
      <c r="O897" s="33" t="str">
        <f>IF(Account!$F897&lt;&gt;"", DATEVALUE(MID($A897,4,3) &amp; LEFT($A897,3) &amp; RIGHT($A897,4)) + TIMEVALUE($B897), "")</f>
        <v/>
      </c>
      <c r="P897" s="34" t="str">
        <f>IF(Account!$F897&lt;&gt;"", DATEVALUE(MID($C897,4,3) &amp; LEFT($C897,3) &amp; RIGHT($C897,4)), "")</f>
        <v/>
      </c>
      <c r="Q897" s="35" t="str">
        <f t="array" ref="Q897">IF($R897&lt;&gt;"",IFERROR(INDEX(Investment!$A:$A,MATCH($R897,Investment!$H:$H,0))),)</f>
        <v/>
      </c>
      <c r="R897" s="36" t="str">
        <f t="array" ref="R897">IF(AND($Y897="change",$H897="EUR"),IF(AND($AA897="Crédit",$O897=$O898),$R898,IF(AND($AA897="Débit",$O897=$O896),$R896)),IF(OR(AND(OR($E897&lt;&gt;"",$M897=""),$N897&lt;&gt;0),$A897=""),IFERROR(INDEX(Investment!$H:$H,MATCH($E897,Investment!$F:$F,0))),IFERROR(INDEX($R898:$R1119,MATCH(SUBSTITUTE($I897,"-","",1),$K898:$K1119,0)),INDEX($R898:$R1119,MATCH($K897,$K898:$K1119,0)))))</f>
        <v/>
      </c>
      <c r="S897" s="35" t="str">
        <f t="shared" si="2"/>
        <v/>
      </c>
      <c r="T897" s="37" t="str">
        <f t="shared" si="3"/>
        <v/>
      </c>
      <c r="U897" s="38" t="str">
        <f t="shared" si="4"/>
        <v/>
      </c>
      <c r="V897" s="31" t="str">
        <f t="shared" si="5"/>
        <v/>
      </c>
      <c r="W897" s="39" t="str">
        <f>IFERROR(__xludf.DUMMYFUNCTION(" IF(Account!$F897&lt;&gt;"""", SPLIT(Account!$F897, "" ""), """")"),"")</f>
        <v/>
      </c>
      <c r="X897" s="40"/>
      <c r="Y897" s="40"/>
      <c r="Z897" s="40"/>
      <c r="AA897" s="40"/>
      <c r="AB897" s="40"/>
      <c r="AC897" s="40"/>
      <c r="AD897" s="40"/>
      <c r="AE897" s="40"/>
      <c r="AF897" s="40"/>
      <c r="AG897" s="40"/>
      <c r="AH897" s="40"/>
      <c r="AI897" s="40"/>
      <c r="AJ897" s="40"/>
      <c r="AK897" s="40"/>
    </row>
    <row r="898">
      <c r="A898" s="300"/>
      <c r="B898" s="300"/>
      <c r="C898" s="300"/>
      <c r="D898" s="300"/>
      <c r="E898" s="300"/>
      <c r="F898" s="329"/>
      <c r="G898" s="300"/>
      <c r="H898" s="300"/>
      <c r="I898" s="300"/>
      <c r="J898" s="300"/>
      <c r="K898" s="300"/>
      <c r="L898" s="329"/>
      <c r="M898" s="29" t="str">
        <f t="shared" si="1"/>
        <v/>
      </c>
      <c r="N898" s="31" t="str">
        <f>IFERROR(__xludf.DUMMYFUNCTION("IF(Account!$F898&lt;&gt;"""", VALUE(REGEXREPLACE($I898, ""\,"", ""."")), """")"),"")</f>
        <v/>
      </c>
      <c r="O898" s="33" t="str">
        <f>IF(Account!$F898&lt;&gt;"", DATEVALUE(MID($A898,4,3) &amp; LEFT($A898,3) &amp; RIGHT($A898,4)) + TIMEVALUE($B898), "")</f>
        <v/>
      </c>
      <c r="P898" s="34" t="str">
        <f>IF(Account!$F898&lt;&gt;"", DATEVALUE(MID($C898,4,3) &amp; LEFT($C898,3) &amp; RIGHT($C898,4)), "")</f>
        <v/>
      </c>
      <c r="Q898" s="35" t="str">
        <f t="array" ref="Q898">IF($R898&lt;&gt;"",IFERROR(INDEX(Investment!$A:$A,MATCH($R898,Investment!$H:$H,0))),)</f>
        <v/>
      </c>
      <c r="R898" s="36" t="str">
        <f t="array" ref="R898">IF(AND($Y898="change",$H898="EUR"),IF(AND($AA898="Crédit",$O898=$O899),$R899,IF(AND($AA898="Débit",$O898=$O897),$R897)),IF(OR(AND(OR($E898&lt;&gt;"",$M898=""),$N898&lt;&gt;0),$A898=""),IFERROR(INDEX(Investment!$H:$H,MATCH($E898,Investment!$F:$F,0))),IFERROR(INDEX($R899:$R1119,MATCH(SUBSTITUTE($I898,"-","",1),$K899:$K1119,0)),INDEX($R899:$R1119,MATCH($K898,$K899:$K1119,0)))))</f>
        <v/>
      </c>
      <c r="S898" s="35" t="str">
        <f t="shared" si="2"/>
        <v/>
      </c>
      <c r="T898" s="37" t="str">
        <f t="shared" si="3"/>
        <v/>
      </c>
      <c r="U898" s="38" t="str">
        <f t="shared" si="4"/>
        <v/>
      </c>
      <c r="V898" s="31" t="str">
        <f t="shared" si="5"/>
        <v/>
      </c>
      <c r="W898" s="39" t="str">
        <f>IFERROR(__xludf.DUMMYFUNCTION(" IF(Account!$F898&lt;&gt;"""", SPLIT(Account!$F898, "" ""), """")"),"")</f>
        <v/>
      </c>
      <c r="X898" s="40"/>
      <c r="Y898" s="40"/>
      <c r="Z898" s="40"/>
      <c r="AA898" s="40"/>
      <c r="AB898" s="40"/>
      <c r="AC898" s="40"/>
      <c r="AD898" s="40"/>
      <c r="AE898" s="40"/>
      <c r="AF898" s="40"/>
      <c r="AG898" s="40"/>
      <c r="AH898" s="40"/>
      <c r="AI898" s="40"/>
      <c r="AJ898" s="40"/>
      <c r="AK898" s="40"/>
    </row>
    <row r="899">
      <c r="A899" s="300"/>
      <c r="B899" s="300"/>
      <c r="C899" s="300"/>
      <c r="D899" s="300"/>
      <c r="E899" s="300"/>
      <c r="F899" s="329"/>
      <c r="G899" s="300"/>
      <c r="H899" s="300"/>
      <c r="I899" s="300"/>
      <c r="J899" s="300"/>
      <c r="K899" s="300"/>
      <c r="L899" s="329"/>
      <c r="M899" s="29" t="str">
        <f t="shared" si="1"/>
        <v/>
      </c>
      <c r="N899" s="31" t="str">
        <f>IFERROR(__xludf.DUMMYFUNCTION("IF(Account!$F899&lt;&gt;"""", VALUE(REGEXREPLACE($I899, ""\,"", ""."")), """")"),"")</f>
        <v/>
      </c>
      <c r="O899" s="33" t="str">
        <f>IF(Account!$F899&lt;&gt;"", DATEVALUE(MID($A899,4,3) &amp; LEFT($A899,3) &amp; RIGHT($A899,4)) + TIMEVALUE($B899), "")</f>
        <v/>
      </c>
      <c r="P899" s="34" t="str">
        <f>IF(Account!$F899&lt;&gt;"", DATEVALUE(MID($C899,4,3) &amp; LEFT($C899,3) &amp; RIGHT($C899,4)), "")</f>
        <v/>
      </c>
      <c r="Q899" s="35" t="str">
        <f t="array" ref="Q899">IF($R899&lt;&gt;"",IFERROR(INDEX(Investment!$A:$A,MATCH($R899,Investment!$H:$H,0))),)</f>
        <v/>
      </c>
      <c r="R899" s="36" t="str">
        <f t="array" ref="R899">IF(AND($Y899="change",$H899="EUR"),IF(AND($AA899="Crédit",$O899=$O900),$R900,IF(AND($AA899="Débit",$O899=$O898),$R898)),IF(OR(AND(OR($E899&lt;&gt;"",$M899=""),$N899&lt;&gt;0),$A899=""),IFERROR(INDEX(Investment!$H:$H,MATCH($E899,Investment!$F:$F,0))),IFERROR(INDEX($R900:$R1119,MATCH(SUBSTITUTE($I899,"-","",1),$K900:$K1119,0)),INDEX($R900:$R1119,MATCH($K899,$K900:$K1119,0)))))</f>
        <v/>
      </c>
      <c r="S899" s="35" t="str">
        <f t="shared" si="2"/>
        <v/>
      </c>
      <c r="T899" s="37" t="str">
        <f t="shared" si="3"/>
        <v/>
      </c>
      <c r="U899" s="38" t="str">
        <f t="shared" si="4"/>
        <v/>
      </c>
      <c r="V899" s="31" t="str">
        <f t="shared" si="5"/>
        <v/>
      </c>
      <c r="W899" s="39" t="str">
        <f>IFERROR(__xludf.DUMMYFUNCTION(" IF(Account!$F899&lt;&gt;"""", SPLIT(Account!$F899, "" ""), """")"),"")</f>
        <v/>
      </c>
      <c r="X899" s="40"/>
      <c r="Y899" s="40"/>
      <c r="Z899" s="40"/>
      <c r="AA899" s="40"/>
      <c r="AB899" s="40"/>
      <c r="AC899" s="40"/>
      <c r="AD899" s="40"/>
      <c r="AE899" s="40"/>
      <c r="AF899" s="40"/>
      <c r="AG899" s="40"/>
      <c r="AH899" s="40"/>
      <c r="AI899" s="40"/>
      <c r="AJ899" s="40"/>
      <c r="AK899" s="40"/>
    </row>
    <row r="900">
      <c r="A900" s="300"/>
      <c r="B900" s="300"/>
      <c r="C900" s="300"/>
      <c r="D900" s="300"/>
      <c r="E900" s="300"/>
      <c r="F900" s="329"/>
      <c r="G900" s="300"/>
      <c r="H900" s="300"/>
      <c r="I900" s="300"/>
      <c r="J900" s="300"/>
      <c r="K900" s="300"/>
      <c r="L900" s="329"/>
      <c r="M900" s="29" t="str">
        <f t="shared" si="1"/>
        <v/>
      </c>
      <c r="N900" s="31" t="str">
        <f>IFERROR(__xludf.DUMMYFUNCTION("IF(Account!$F900&lt;&gt;"""", VALUE(REGEXREPLACE($I900, ""\,"", ""."")), """")"),"")</f>
        <v/>
      </c>
      <c r="O900" s="33" t="str">
        <f>IF(Account!$F900&lt;&gt;"", DATEVALUE(MID($A900,4,3) &amp; LEFT($A900,3) &amp; RIGHT($A900,4)) + TIMEVALUE($B900), "")</f>
        <v/>
      </c>
      <c r="P900" s="34" t="str">
        <f>IF(Account!$F900&lt;&gt;"", DATEVALUE(MID($C900,4,3) &amp; LEFT($C900,3) &amp; RIGHT($C900,4)), "")</f>
        <v/>
      </c>
      <c r="Q900" s="35" t="str">
        <f t="array" ref="Q900">IF($R900&lt;&gt;"",IFERROR(INDEX(Investment!$A:$A,MATCH($R900,Investment!$H:$H,0))),)</f>
        <v/>
      </c>
      <c r="R900" s="36" t="str">
        <f t="array" ref="R900">IF(AND($Y900="change",$H900="EUR"),IF(AND($AA900="Crédit",$O900=$O901),$R901,IF(AND($AA900="Débit",$O900=$O899),$R899)),IF(OR(AND(OR($E900&lt;&gt;"",$M900=""),$N900&lt;&gt;0),$A900=""),IFERROR(INDEX(Investment!$H:$H,MATCH($E900,Investment!$F:$F,0))),IFERROR(INDEX($R901:$R1119,MATCH(SUBSTITUTE($I900,"-","",1),$K901:$K1119,0)),INDEX($R901:$R1119,MATCH($K900,$K901:$K1119,0)))))</f>
        <v/>
      </c>
      <c r="S900" s="35" t="str">
        <f t="shared" si="2"/>
        <v/>
      </c>
      <c r="T900" s="37" t="str">
        <f t="shared" si="3"/>
        <v/>
      </c>
      <c r="U900" s="38" t="str">
        <f t="shared" si="4"/>
        <v/>
      </c>
      <c r="V900" s="31" t="str">
        <f t="shared" si="5"/>
        <v/>
      </c>
      <c r="W900" s="39" t="str">
        <f>IFERROR(__xludf.DUMMYFUNCTION(" IF(Account!$F900&lt;&gt;"""", SPLIT(Account!$F900, "" ""), """")"),"")</f>
        <v/>
      </c>
      <c r="X900" s="40"/>
      <c r="Y900" s="40"/>
      <c r="Z900" s="40"/>
      <c r="AA900" s="40"/>
      <c r="AB900" s="40"/>
      <c r="AC900" s="40"/>
      <c r="AD900" s="40"/>
      <c r="AE900" s="40"/>
      <c r="AF900" s="40"/>
      <c r="AG900" s="40"/>
      <c r="AH900" s="40"/>
      <c r="AI900" s="40"/>
      <c r="AJ900" s="40"/>
      <c r="AK900" s="40"/>
    </row>
    <row r="901">
      <c r="A901" s="300"/>
      <c r="B901" s="300"/>
      <c r="C901" s="300"/>
      <c r="D901" s="300"/>
      <c r="E901" s="300"/>
      <c r="F901" s="329"/>
      <c r="G901" s="300"/>
      <c r="H901" s="300"/>
      <c r="I901" s="300"/>
      <c r="J901" s="300"/>
      <c r="K901" s="300"/>
      <c r="L901" s="329"/>
      <c r="M901" s="29" t="str">
        <f t="shared" si="1"/>
        <v/>
      </c>
      <c r="N901" s="31" t="str">
        <f>IFERROR(__xludf.DUMMYFUNCTION("IF(Account!$F901&lt;&gt;"""", VALUE(REGEXREPLACE($I901, ""\,"", ""."")), """")"),"")</f>
        <v/>
      </c>
      <c r="O901" s="33" t="str">
        <f>IF(Account!$F901&lt;&gt;"", DATEVALUE(MID($A901,4,3) &amp; LEFT($A901,3) &amp; RIGHT($A901,4)) + TIMEVALUE($B901), "")</f>
        <v/>
      </c>
      <c r="P901" s="34" t="str">
        <f>IF(Account!$F901&lt;&gt;"", DATEVALUE(MID($C901,4,3) &amp; LEFT($C901,3) &amp; RIGHT($C901,4)), "")</f>
        <v/>
      </c>
      <c r="Q901" s="35" t="str">
        <f t="array" ref="Q901">IF($R901&lt;&gt;"",IFERROR(INDEX(Investment!$A:$A,MATCH($R901,Investment!$H:$H,0))),)</f>
        <v/>
      </c>
      <c r="R901" s="36" t="str">
        <f t="array" ref="R901">IF(AND($Y901="change",$H901="EUR"),IF(AND($AA901="Crédit",$O901=$O902),$R902,IF(AND($AA901="Débit",$O901=$O900),$R900)),IF(OR(AND(OR($E901&lt;&gt;"",$M901=""),$N901&lt;&gt;0),$A901=""),IFERROR(INDEX(Investment!$H:$H,MATCH($E901,Investment!$F:$F,0))),IFERROR(INDEX($R902:$R1119,MATCH(SUBSTITUTE($I901,"-","",1),$K902:$K1119,0)),INDEX($R902:$R1119,MATCH($K901,$K902:$K1119,0)))))</f>
        <v/>
      </c>
      <c r="S901" s="35" t="str">
        <f t="shared" si="2"/>
        <v/>
      </c>
      <c r="T901" s="37" t="str">
        <f t="shared" si="3"/>
        <v/>
      </c>
      <c r="U901" s="38" t="str">
        <f t="shared" si="4"/>
        <v/>
      </c>
      <c r="V901" s="31" t="str">
        <f t="shared" si="5"/>
        <v/>
      </c>
      <c r="W901" s="39" t="str">
        <f>IFERROR(__xludf.DUMMYFUNCTION(" IF(Account!$F901&lt;&gt;"""", SPLIT(Account!$F901, "" ""), """")"),"")</f>
        <v/>
      </c>
      <c r="X901" s="40"/>
      <c r="Y901" s="40"/>
      <c r="Z901" s="40"/>
      <c r="AA901" s="40"/>
      <c r="AB901" s="40"/>
      <c r="AC901" s="40"/>
      <c r="AD901" s="40"/>
      <c r="AE901" s="40"/>
      <c r="AF901" s="40"/>
      <c r="AG901" s="40"/>
      <c r="AH901" s="40"/>
      <c r="AI901" s="40"/>
      <c r="AJ901" s="40"/>
      <c r="AK901" s="40"/>
    </row>
    <row r="902">
      <c r="A902" s="300"/>
      <c r="B902" s="300"/>
      <c r="C902" s="300"/>
      <c r="D902" s="300"/>
      <c r="E902" s="300"/>
      <c r="F902" s="329"/>
      <c r="G902" s="300"/>
      <c r="H902" s="300"/>
      <c r="I902" s="300"/>
      <c r="J902" s="300"/>
      <c r="K902" s="300"/>
      <c r="L902" s="329"/>
      <c r="M902" s="29" t="str">
        <f t="shared" si="1"/>
        <v/>
      </c>
      <c r="N902" s="31" t="str">
        <f>IFERROR(__xludf.DUMMYFUNCTION("IF(Account!$F902&lt;&gt;"""", VALUE(REGEXREPLACE($I902, ""\,"", ""."")), """")"),"")</f>
        <v/>
      </c>
      <c r="O902" s="33" t="str">
        <f>IF(Account!$F902&lt;&gt;"", DATEVALUE(MID($A902,4,3) &amp; LEFT($A902,3) &amp; RIGHT($A902,4)) + TIMEVALUE($B902), "")</f>
        <v/>
      </c>
      <c r="P902" s="34" t="str">
        <f>IF(Account!$F902&lt;&gt;"", DATEVALUE(MID($C902,4,3) &amp; LEFT($C902,3) &amp; RIGHT($C902,4)), "")</f>
        <v/>
      </c>
      <c r="Q902" s="35" t="str">
        <f t="array" ref="Q902">IF($R902&lt;&gt;"",IFERROR(INDEX(Investment!$A:$A,MATCH($R902,Investment!$H:$H,0))),)</f>
        <v/>
      </c>
      <c r="R902" s="36" t="str">
        <f t="array" ref="R902">IF(AND($Y902="change",$H902="EUR"),IF(AND($AA902="Crédit",$O902=$O903),$R903,IF(AND($AA902="Débit",$O902=$O901),$R901)),IF(OR(AND(OR($E902&lt;&gt;"",$M902=""),$N902&lt;&gt;0),$A902=""),IFERROR(INDEX(Investment!$H:$H,MATCH($E902,Investment!$F:$F,0))),IFERROR(INDEX($R903:$R1119,MATCH(SUBSTITUTE($I902,"-","",1),$K903:$K1119,0)),INDEX($R903:$R1119,MATCH($K902,$K903:$K1119,0)))))</f>
        <v/>
      </c>
      <c r="S902" s="35" t="str">
        <f t="shared" si="2"/>
        <v/>
      </c>
      <c r="T902" s="37" t="str">
        <f t="shared" si="3"/>
        <v/>
      </c>
      <c r="U902" s="38" t="str">
        <f t="shared" si="4"/>
        <v/>
      </c>
      <c r="V902" s="31" t="str">
        <f t="shared" si="5"/>
        <v/>
      </c>
      <c r="W902" s="39" t="str">
        <f>IFERROR(__xludf.DUMMYFUNCTION(" IF(Account!$F902&lt;&gt;"""", SPLIT(Account!$F902, "" ""), """")"),"")</f>
        <v/>
      </c>
      <c r="X902" s="40"/>
      <c r="Y902" s="40"/>
      <c r="Z902" s="40"/>
      <c r="AA902" s="40"/>
      <c r="AB902" s="40"/>
      <c r="AC902" s="40"/>
      <c r="AD902" s="40"/>
      <c r="AE902" s="40"/>
      <c r="AF902" s="40"/>
      <c r="AG902" s="40"/>
      <c r="AH902" s="40"/>
      <c r="AI902" s="40"/>
      <c r="AJ902" s="40"/>
      <c r="AK902" s="40"/>
    </row>
    <row r="903">
      <c r="A903" s="300"/>
      <c r="B903" s="300"/>
      <c r="C903" s="300"/>
      <c r="D903" s="300"/>
      <c r="E903" s="300"/>
      <c r="F903" s="329"/>
      <c r="G903" s="300"/>
      <c r="H903" s="300"/>
      <c r="I903" s="300"/>
      <c r="J903" s="300"/>
      <c r="K903" s="300"/>
      <c r="L903" s="329"/>
      <c r="M903" s="29" t="str">
        <f t="shared" si="1"/>
        <v/>
      </c>
      <c r="N903" s="31" t="str">
        <f>IFERROR(__xludf.DUMMYFUNCTION("IF(Account!$F903&lt;&gt;"""", VALUE(REGEXREPLACE($I903, ""\,"", ""."")), """")"),"")</f>
        <v/>
      </c>
      <c r="O903" s="33" t="str">
        <f>IF(Account!$F903&lt;&gt;"", DATEVALUE(MID($A903,4,3) &amp; LEFT($A903,3) &amp; RIGHT($A903,4)) + TIMEVALUE($B903), "")</f>
        <v/>
      </c>
      <c r="P903" s="34" t="str">
        <f>IF(Account!$F903&lt;&gt;"", DATEVALUE(MID($C903,4,3) &amp; LEFT($C903,3) &amp; RIGHT($C903,4)), "")</f>
        <v/>
      </c>
      <c r="Q903" s="35" t="str">
        <f t="array" ref="Q903">IF($R903&lt;&gt;"",IFERROR(INDEX(Investment!$A:$A,MATCH($R903,Investment!$H:$H,0))),)</f>
        <v/>
      </c>
      <c r="R903" s="36" t="str">
        <f t="array" ref="R903">IF(AND($Y903="change",$H903="EUR"),IF(AND($AA903="Crédit",$O903=$O904),$R904,IF(AND($AA903="Débit",$O903=$O902),$R902)),IF(OR(AND(OR($E903&lt;&gt;"",$M903=""),$N903&lt;&gt;0),$A903=""),IFERROR(INDEX(Investment!$H:$H,MATCH($E903,Investment!$F:$F,0))),IFERROR(INDEX($R904:$R1119,MATCH(SUBSTITUTE($I903,"-","",1),$K904:$K1119,0)),INDEX($R904:$R1119,MATCH($K903,$K904:$K1119,0)))))</f>
        <v/>
      </c>
      <c r="S903" s="35" t="str">
        <f t="shared" si="2"/>
        <v/>
      </c>
      <c r="T903" s="37" t="str">
        <f t="shared" si="3"/>
        <v/>
      </c>
      <c r="U903" s="38" t="str">
        <f t="shared" si="4"/>
        <v/>
      </c>
      <c r="V903" s="31" t="str">
        <f t="shared" si="5"/>
        <v/>
      </c>
      <c r="W903" s="39" t="str">
        <f>IFERROR(__xludf.DUMMYFUNCTION(" IF(Account!$F903&lt;&gt;"""", SPLIT(Account!$F903, "" ""), """")"),"")</f>
        <v/>
      </c>
      <c r="X903" s="40"/>
      <c r="Y903" s="40"/>
      <c r="Z903" s="40"/>
      <c r="AA903" s="40"/>
      <c r="AB903" s="40"/>
      <c r="AC903" s="40"/>
      <c r="AD903" s="40"/>
      <c r="AE903" s="40"/>
      <c r="AF903" s="40"/>
      <c r="AG903" s="40"/>
      <c r="AH903" s="40"/>
      <c r="AI903" s="40"/>
      <c r="AJ903" s="40"/>
      <c r="AK903" s="40"/>
    </row>
    <row r="904">
      <c r="A904" s="300"/>
      <c r="B904" s="300"/>
      <c r="C904" s="300"/>
      <c r="D904" s="300"/>
      <c r="E904" s="300"/>
      <c r="F904" s="329"/>
      <c r="G904" s="300"/>
      <c r="H904" s="300"/>
      <c r="I904" s="300"/>
      <c r="J904" s="300"/>
      <c r="K904" s="300"/>
      <c r="L904" s="329"/>
      <c r="M904" s="29" t="str">
        <f t="shared" si="1"/>
        <v/>
      </c>
      <c r="N904" s="31" t="str">
        <f>IFERROR(__xludf.DUMMYFUNCTION("IF(Account!$F904&lt;&gt;"""", VALUE(REGEXREPLACE($I904, ""\,"", ""."")), """")"),"")</f>
        <v/>
      </c>
      <c r="O904" s="33" t="str">
        <f>IF(Account!$F904&lt;&gt;"", DATEVALUE(MID($A904,4,3) &amp; LEFT($A904,3) &amp; RIGHT($A904,4)) + TIMEVALUE($B904), "")</f>
        <v/>
      </c>
      <c r="P904" s="34" t="str">
        <f>IF(Account!$F904&lt;&gt;"", DATEVALUE(MID($C904,4,3) &amp; LEFT($C904,3) &amp; RIGHT($C904,4)), "")</f>
        <v/>
      </c>
      <c r="Q904" s="35" t="str">
        <f t="array" ref="Q904">IF($R904&lt;&gt;"",IFERROR(INDEX(Investment!$A:$A,MATCH($R904,Investment!$H:$H,0))),)</f>
        <v/>
      </c>
      <c r="R904" s="36" t="str">
        <f t="array" ref="R904">IF(AND($Y904="change",$H904="EUR"),IF(AND($AA904="Crédit",$O904=$O905),$R905,IF(AND($AA904="Débit",$O904=$O903),$R903)),IF(OR(AND(OR($E904&lt;&gt;"",$M904=""),$N904&lt;&gt;0),$A904=""),IFERROR(INDEX(Investment!$H:$H,MATCH($E904,Investment!$F:$F,0))),IFERROR(INDEX($R905:$R1119,MATCH(SUBSTITUTE($I904,"-","",1),$K905:$K1119,0)),INDEX($R905:$R1119,MATCH($K904,$K905:$K1119,0)))))</f>
        <v/>
      </c>
      <c r="S904" s="35" t="str">
        <f t="shared" si="2"/>
        <v/>
      </c>
      <c r="T904" s="37" t="str">
        <f t="shared" si="3"/>
        <v/>
      </c>
      <c r="U904" s="38" t="str">
        <f t="shared" si="4"/>
        <v/>
      </c>
      <c r="V904" s="31" t="str">
        <f t="shared" si="5"/>
        <v/>
      </c>
      <c r="W904" s="39" t="str">
        <f>IFERROR(__xludf.DUMMYFUNCTION(" IF(Account!$F904&lt;&gt;"""", SPLIT(Account!$F904, "" ""), """")"),"")</f>
        <v/>
      </c>
      <c r="X904" s="40"/>
      <c r="Y904" s="40"/>
      <c r="Z904" s="40"/>
      <c r="AA904" s="40"/>
      <c r="AB904" s="40"/>
      <c r="AC904" s="40"/>
      <c r="AD904" s="40"/>
      <c r="AE904" s="40"/>
      <c r="AF904" s="40"/>
      <c r="AG904" s="40"/>
      <c r="AH904" s="40"/>
      <c r="AI904" s="40"/>
      <c r="AJ904" s="40"/>
      <c r="AK904" s="40"/>
    </row>
    <row r="905">
      <c r="A905" s="300"/>
      <c r="B905" s="300"/>
      <c r="C905" s="300"/>
      <c r="D905" s="300"/>
      <c r="E905" s="300"/>
      <c r="F905" s="329"/>
      <c r="G905" s="300"/>
      <c r="H905" s="300"/>
      <c r="I905" s="300"/>
      <c r="J905" s="300"/>
      <c r="K905" s="300"/>
      <c r="L905" s="329"/>
      <c r="M905" s="29" t="str">
        <f t="shared" si="1"/>
        <v/>
      </c>
      <c r="N905" s="31" t="str">
        <f>IFERROR(__xludf.DUMMYFUNCTION("IF(Account!$F905&lt;&gt;"""", VALUE(REGEXREPLACE($I905, ""\,"", ""."")), """")"),"")</f>
        <v/>
      </c>
      <c r="O905" s="33" t="str">
        <f>IF(Account!$F905&lt;&gt;"", DATEVALUE(MID($A905,4,3) &amp; LEFT($A905,3) &amp; RIGHT($A905,4)) + TIMEVALUE($B905), "")</f>
        <v/>
      </c>
      <c r="P905" s="34" t="str">
        <f>IF(Account!$F905&lt;&gt;"", DATEVALUE(MID($C905,4,3) &amp; LEFT($C905,3) &amp; RIGHT($C905,4)), "")</f>
        <v/>
      </c>
      <c r="Q905" s="35" t="str">
        <f t="array" ref="Q905">IF($R905&lt;&gt;"",IFERROR(INDEX(Investment!$A:$A,MATCH($R905,Investment!$H:$H,0))),)</f>
        <v/>
      </c>
      <c r="R905" s="36" t="str">
        <f t="array" ref="R905">IF(AND($Y905="change",$H905="EUR"),IF(AND($AA905="Crédit",$O905=$O906),$R906,IF(AND($AA905="Débit",$O905=$O904),$R904)),IF(OR(AND(OR($E905&lt;&gt;"",$M905=""),$N905&lt;&gt;0),$A905=""),IFERROR(INDEX(Investment!$H:$H,MATCH($E905,Investment!$F:$F,0))),IFERROR(INDEX($R906:$R1119,MATCH(SUBSTITUTE($I905,"-","",1),$K906:$K1119,0)),INDEX($R906:$R1119,MATCH($K905,$K906:$K1119,0)))))</f>
        <v/>
      </c>
      <c r="S905" s="35" t="str">
        <f t="shared" si="2"/>
        <v/>
      </c>
      <c r="T905" s="37" t="str">
        <f t="shared" si="3"/>
        <v/>
      </c>
      <c r="U905" s="38" t="str">
        <f t="shared" si="4"/>
        <v/>
      </c>
      <c r="V905" s="31" t="str">
        <f t="shared" si="5"/>
        <v/>
      </c>
      <c r="W905" s="39" t="str">
        <f>IFERROR(__xludf.DUMMYFUNCTION(" IF(Account!$F905&lt;&gt;"""", SPLIT(Account!$F905, "" ""), """")"),"")</f>
        <v/>
      </c>
      <c r="X905" s="40"/>
      <c r="Y905" s="40"/>
      <c r="Z905" s="40"/>
      <c r="AA905" s="40"/>
      <c r="AB905" s="40"/>
      <c r="AC905" s="40"/>
      <c r="AD905" s="40"/>
      <c r="AE905" s="40"/>
      <c r="AF905" s="40"/>
      <c r="AG905" s="40"/>
      <c r="AH905" s="40"/>
      <c r="AI905" s="40"/>
      <c r="AJ905" s="40"/>
      <c r="AK905" s="40"/>
    </row>
    <row r="906">
      <c r="A906" s="300"/>
      <c r="B906" s="300"/>
      <c r="C906" s="300"/>
      <c r="D906" s="300"/>
      <c r="E906" s="300"/>
      <c r="F906" s="329"/>
      <c r="G906" s="300"/>
      <c r="H906" s="300"/>
      <c r="I906" s="300"/>
      <c r="J906" s="300"/>
      <c r="K906" s="300"/>
      <c r="L906" s="329"/>
      <c r="M906" s="29" t="str">
        <f t="shared" si="1"/>
        <v/>
      </c>
      <c r="N906" s="31" t="str">
        <f>IFERROR(__xludf.DUMMYFUNCTION("IF(Account!$F906&lt;&gt;"""", VALUE(REGEXREPLACE($I906, ""\,"", ""."")), """")"),"")</f>
        <v/>
      </c>
      <c r="O906" s="33" t="str">
        <f>IF(Account!$F906&lt;&gt;"", DATEVALUE(MID($A906,4,3) &amp; LEFT($A906,3) &amp; RIGHT($A906,4)) + TIMEVALUE($B906), "")</f>
        <v/>
      </c>
      <c r="P906" s="34" t="str">
        <f>IF(Account!$F906&lt;&gt;"", DATEVALUE(MID($C906,4,3) &amp; LEFT($C906,3) &amp; RIGHT($C906,4)), "")</f>
        <v/>
      </c>
      <c r="Q906" s="35" t="str">
        <f t="array" ref="Q906">IF($R906&lt;&gt;"",IFERROR(INDEX(Investment!$A:$A,MATCH($R906,Investment!$H:$H,0))),)</f>
        <v/>
      </c>
      <c r="R906" s="36" t="str">
        <f t="array" ref="R906">IF(AND($Y906="change",$H906="EUR"),IF(AND($AA906="Crédit",$O906=$O907),$R907,IF(AND($AA906="Débit",$O906=$O905),$R905)),IF(OR(AND(OR($E906&lt;&gt;"",$M906=""),$N906&lt;&gt;0),$A906=""),IFERROR(INDEX(Investment!$H:$H,MATCH($E906,Investment!$F:$F,0))),IFERROR(INDEX($R907:$R1119,MATCH(SUBSTITUTE($I906,"-","",1),$K907:$K1119,0)),INDEX($R907:$R1119,MATCH($K906,$K907:$K1119,0)))))</f>
        <v/>
      </c>
      <c r="S906" s="35" t="str">
        <f t="shared" si="2"/>
        <v/>
      </c>
      <c r="T906" s="37" t="str">
        <f t="shared" si="3"/>
        <v/>
      </c>
      <c r="U906" s="38" t="str">
        <f t="shared" si="4"/>
        <v/>
      </c>
      <c r="V906" s="31" t="str">
        <f t="shared" si="5"/>
        <v/>
      </c>
      <c r="W906" s="39" t="str">
        <f>IFERROR(__xludf.DUMMYFUNCTION(" IF(Account!$F906&lt;&gt;"""", SPLIT(Account!$F906, "" ""), """")"),"")</f>
        <v/>
      </c>
      <c r="X906" s="40"/>
      <c r="Y906" s="40"/>
      <c r="Z906" s="40"/>
      <c r="AA906" s="40"/>
      <c r="AB906" s="40"/>
      <c r="AC906" s="40"/>
      <c r="AD906" s="40"/>
      <c r="AE906" s="40"/>
      <c r="AF906" s="40"/>
      <c r="AG906" s="40"/>
      <c r="AH906" s="40"/>
      <c r="AI906" s="40"/>
      <c r="AJ906" s="40"/>
      <c r="AK906" s="40"/>
    </row>
    <row r="907">
      <c r="A907" s="300"/>
      <c r="B907" s="300"/>
      <c r="C907" s="300"/>
      <c r="D907" s="300"/>
      <c r="E907" s="300"/>
      <c r="F907" s="329"/>
      <c r="G907" s="300"/>
      <c r="H907" s="300"/>
      <c r="I907" s="300"/>
      <c r="J907" s="300"/>
      <c r="K907" s="300"/>
      <c r="L907" s="329"/>
      <c r="M907" s="29" t="str">
        <f t="shared" si="1"/>
        <v/>
      </c>
      <c r="N907" s="31" t="str">
        <f>IFERROR(__xludf.DUMMYFUNCTION("IF(Account!$F907&lt;&gt;"""", VALUE(REGEXREPLACE($I907, ""\,"", ""."")), """")"),"")</f>
        <v/>
      </c>
      <c r="O907" s="33" t="str">
        <f>IF(Account!$F907&lt;&gt;"", DATEVALUE(MID($A907,4,3) &amp; LEFT($A907,3) &amp; RIGHT($A907,4)) + TIMEVALUE($B907), "")</f>
        <v/>
      </c>
      <c r="P907" s="34" t="str">
        <f>IF(Account!$F907&lt;&gt;"", DATEVALUE(MID($C907,4,3) &amp; LEFT($C907,3) &amp; RIGHT($C907,4)), "")</f>
        <v/>
      </c>
      <c r="Q907" s="35" t="str">
        <f t="array" ref="Q907">IF($R907&lt;&gt;"",IFERROR(INDEX(Investment!$A:$A,MATCH($R907,Investment!$H:$H,0))),)</f>
        <v/>
      </c>
      <c r="R907" s="36" t="str">
        <f t="array" ref="R907">IF(AND($Y907="change",$H907="EUR"),IF(AND($AA907="Crédit",$O907=$O908),$R908,IF(AND($AA907="Débit",$O907=$O906),$R906)),IF(OR(AND(OR($E907&lt;&gt;"",$M907=""),$N907&lt;&gt;0),$A907=""),IFERROR(INDEX(Investment!$H:$H,MATCH($E907,Investment!$F:$F,0))),IFERROR(INDEX($R908:$R1119,MATCH(SUBSTITUTE($I907,"-","",1),$K908:$K1119,0)),INDEX($R908:$R1119,MATCH($K907,$K908:$K1119,0)))))</f>
        <v/>
      </c>
      <c r="S907" s="35" t="str">
        <f t="shared" si="2"/>
        <v/>
      </c>
      <c r="T907" s="37" t="str">
        <f t="shared" si="3"/>
        <v/>
      </c>
      <c r="U907" s="38" t="str">
        <f t="shared" si="4"/>
        <v/>
      </c>
      <c r="V907" s="31" t="str">
        <f t="shared" si="5"/>
        <v/>
      </c>
      <c r="W907" s="39" t="str">
        <f>IFERROR(__xludf.DUMMYFUNCTION(" IF(Account!$F907&lt;&gt;"""", SPLIT(Account!$F907, "" ""), """")"),"")</f>
        <v/>
      </c>
      <c r="X907" s="40"/>
      <c r="Y907" s="40"/>
      <c r="Z907" s="40"/>
      <c r="AA907" s="40"/>
      <c r="AB907" s="40"/>
      <c r="AC907" s="40"/>
      <c r="AD907" s="40"/>
      <c r="AE907" s="40"/>
      <c r="AF907" s="40"/>
      <c r="AG907" s="40"/>
      <c r="AH907" s="40"/>
      <c r="AI907" s="40"/>
      <c r="AJ907" s="40"/>
      <c r="AK907" s="40"/>
    </row>
    <row r="908">
      <c r="A908" s="300"/>
      <c r="B908" s="300"/>
      <c r="C908" s="300"/>
      <c r="D908" s="300"/>
      <c r="E908" s="300"/>
      <c r="F908" s="329"/>
      <c r="G908" s="300"/>
      <c r="H908" s="300"/>
      <c r="I908" s="300"/>
      <c r="J908" s="300"/>
      <c r="K908" s="300"/>
      <c r="L908" s="329"/>
      <c r="M908" s="29" t="str">
        <f t="shared" si="1"/>
        <v/>
      </c>
      <c r="N908" s="31" t="str">
        <f>IFERROR(__xludf.DUMMYFUNCTION("IF(Account!$F908&lt;&gt;"""", VALUE(REGEXREPLACE($I908, ""\,"", ""."")), """")"),"")</f>
        <v/>
      </c>
      <c r="O908" s="33" t="str">
        <f>IF(Account!$F908&lt;&gt;"", DATEVALUE(MID($A908,4,3) &amp; LEFT($A908,3) &amp; RIGHT($A908,4)) + TIMEVALUE($B908), "")</f>
        <v/>
      </c>
      <c r="P908" s="34" t="str">
        <f>IF(Account!$F908&lt;&gt;"", DATEVALUE(MID($C908,4,3) &amp; LEFT($C908,3) &amp; RIGHT($C908,4)), "")</f>
        <v/>
      </c>
      <c r="Q908" s="35" t="str">
        <f t="array" ref="Q908">IF($R908&lt;&gt;"",IFERROR(INDEX(Investment!$A:$A,MATCH($R908,Investment!$H:$H,0))),)</f>
        <v/>
      </c>
      <c r="R908" s="36" t="str">
        <f t="array" ref="R908">IF(AND($Y908="change",$H908="EUR"),IF(AND($AA908="Crédit",$O908=$O909),$R909,IF(AND($AA908="Débit",$O908=$O907),$R907)),IF(OR(AND(OR($E908&lt;&gt;"",$M908=""),$N908&lt;&gt;0),$A908=""),IFERROR(INDEX(Investment!$H:$H,MATCH($E908,Investment!$F:$F,0))),IFERROR(INDEX($R909:$R1119,MATCH(SUBSTITUTE($I908,"-","",1),$K909:$K1119,0)),INDEX($R909:$R1119,MATCH($K908,$K909:$K1119,0)))))</f>
        <v/>
      </c>
      <c r="S908" s="35" t="str">
        <f t="shared" si="2"/>
        <v/>
      </c>
      <c r="T908" s="37" t="str">
        <f t="shared" si="3"/>
        <v/>
      </c>
      <c r="U908" s="38" t="str">
        <f t="shared" si="4"/>
        <v/>
      </c>
      <c r="V908" s="31" t="str">
        <f t="shared" si="5"/>
        <v/>
      </c>
      <c r="W908" s="39" t="str">
        <f>IFERROR(__xludf.DUMMYFUNCTION(" IF(Account!$F908&lt;&gt;"""", SPLIT(Account!$F908, "" ""), """")"),"")</f>
        <v/>
      </c>
      <c r="X908" s="40"/>
      <c r="Y908" s="40"/>
      <c r="Z908" s="40"/>
      <c r="AA908" s="40"/>
      <c r="AB908" s="40"/>
      <c r="AC908" s="40"/>
      <c r="AD908" s="40"/>
      <c r="AE908" s="40"/>
      <c r="AF908" s="40"/>
      <c r="AG908" s="40"/>
      <c r="AH908" s="40"/>
      <c r="AI908" s="40"/>
      <c r="AJ908" s="40"/>
      <c r="AK908" s="40"/>
    </row>
    <row r="909">
      <c r="A909" s="300"/>
      <c r="B909" s="300"/>
      <c r="C909" s="300"/>
      <c r="D909" s="300"/>
      <c r="E909" s="300"/>
      <c r="F909" s="329"/>
      <c r="G909" s="300"/>
      <c r="H909" s="300"/>
      <c r="I909" s="300"/>
      <c r="J909" s="300"/>
      <c r="K909" s="300"/>
      <c r="L909" s="329"/>
      <c r="M909" s="29" t="str">
        <f t="shared" si="1"/>
        <v/>
      </c>
      <c r="N909" s="31" t="str">
        <f>IFERROR(__xludf.DUMMYFUNCTION("IF(Account!$F909&lt;&gt;"""", VALUE(REGEXREPLACE($I909, ""\,"", ""."")), """")"),"")</f>
        <v/>
      </c>
      <c r="O909" s="33" t="str">
        <f>IF(Account!$F909&lt;&gt;"", DATEVALUE(MID($A909,4,3) &amp; LEFT($A909,3) &amp; RIGHT($A909,4)) + TIMEVALUE($B909), "")</f>
        <v/>
      </c>
      <c r="P909" s="34" t="str">
        <f>IF(Account!$F909&lt;&gt;"", DATEVALUE(MID($C909,4,3) &amp; LEFT($C909,3) &amp; RIGHT($C909,4)), "")</f>
        <v/>
      </c>
      <c r="Q909" s="35" t="str">
        <f t="array" ref="Q909">IF($R909&lt;&gt;"",IFERROR(INDEX(Investment!$A:$A,MATCH($R909,Investment!$H:$H,0))),)</f>
        <v/>
      </c>
      <c r="R909" s="36" t="str">
        <f t="array" ref="R909">IF(AND($Y909="change",$H909="EUR"),IF(AND($AA909="Crédit",$O909=$O910),$R910,IF(AND($AA909="Débit",$O909=$O908),$R908)),IF(OR(AND(OR($E909&lt;&gt;"",$M909=""),$N909&lt;&gt;0),$A909=""),IFERROR(INDEX(Investment!$H:$H,MATCH($E909,Investment!$F:$F,0))),IFERROR(INDEX($R910:$R1119,MATCH(SUBSTITUTE($I909,"-","",1),$K910:$K1119,0)),INDEX($R910:$R1119,MATCH($K909,$K910:$K1119,0)))))</f>
        <v/>
      </c>
      <c r="S909" s="35" t="str">
        <f t="shared" si="2"/>
        <v/>
      </c>
      <c r="T909" s="37" t="str">
        <f t="shared" si="3"/>
        <v/>
      </c>
      <c r="U909" s="38" t="str">
        <f t="shared" si="4"/>
        <v/>
      </c>
      <c r="V909" s="31" t="str">
        <f t="shared" si="5"/>
        <v/>
      </c>
      <c r="W909" s="39" t="str">
        <f>IFERROR(__xludf.DUMMYFUNCTION(" IF(Account!$F909&lt;&gt;"""", SPLIT(Account!$F909, "" ""), """")"),"")</f>
        <v/>
      </c>
      <c r="X909" s="40"/>
      <c r="Y909" s="40"/>
      <c r="Z909" s="40"/>
      <c r="AA909" s="40"/>
      <c r="AB909" s="40"/>
      <c r="AC909" s="40"/>
      <c r="AD909" s="40"/>
      <c r="AE909" s="40"/>
      <c r="AF909" s="40"/>
      <c r="AG909" s="40"/>
      <c r="AH909" s="40"/>
      <c r="AI909" s="40"/>
      <c r="AJ909" s="40"/>
      <c r="AK909" s="40"/>
    </row>
    <row r="910">
      <c r="A910" s="300"/>
      <c r="B910" s="300"/>
      <c r="C910" s="300"/>
      <c r="D910" s="300"/>
      <c r="E910" s="300"/>
      <c r="F910" s="329"/>
      <c r="G910" s="300"/>
      <c r="H910" s="300"/>
      <c r="I910" s="300"/>
      <c r="J910" s="300"/>
      <c r="K910" s="300"/>
      <c r="L910" s="329"/>
      <c r="M910" s="29" t="str">
        <f t="shared" si="1"/>
        <v/>
      </c>
      <c r="N910" s="31" t="str">
        <f>IFERROR(__xludf.DUMMYFUNCTION("IF(Account!$F910&lt;&gt;"""", VALUE(REGEXREPLACE($I910, ""\,"", ""."")), """")"),"")</f>
        <v/>
      </c>
      <c r="O910" s="33" t="str">
        <f>IF(Account!$F910&lt;&gt;"", DATEVALUE(MID($A910,4,3) &amp; LEFT($A910,3) &amp; RIGHT($A910,4)) + TIMEVALUE($B910), "")</f>
        <v/>
      </c>
      <c r="P910" s="34" t="str">
        <f>IF(Account!$F910&lt;&gt;"", DATEVALUE(MID($C910,4,3) &amp; LEFT($C910,3) &amp; RIGHT($C910,4)), "")</f>
        <v/>
      </c>
      <c r="Q910" s="35" t="str">
        <f t="array" ref="Q910">IF($R910&lt;&gt;"",IFERROR(INDEX(Investment!$A:$A,MATCH($R910,Investment!$H:$H,0))),)</f>
        <v/>
      </c>
      <c r="R910" s="36" t="str">
        <f t="array" ref="R910">IF(AND($Y910="change",$H910="EUR"),IF(AND($AA910="Crédit",$O910=$O911),$R911,IF(AND($AA910="Débit",$O910=$O909),$R909)),IF(OR(AND(OR($E910&lt;&gt;"",$M910=""),$N910&lt;&gt;0),$A910=""),IFERROR(INDEX(Investment!$H:$H,MATCH($E910,Investment!$F:$F,0))),IFERROR(INDEX($R911:$R1119,MATCH(SUBSTITUTE($I910,"-","",1),$K911:$K1119,0)),INDEX($R911:$R1119,MATCH($K910,$K911:$K1119,0)))))</f>
        <v/>
      </c>
      <c r="S910" s="35" t="str">
        <f t="shared" si="2"/>
        <v/>
      </c>
      <c r="T910" s="37" t="str">
        <f t="shared" si="3"/>
        <v/>
      </c>
      <c r="U910" s="38" t="str">
        <f t="shared" si="4"/>
        <v/>
      </c>
      <c r="V910" s="31" t="str">
        <f t="shared" si="5"/>
        <v/>
      </c>
      <c r="W910" s="39" t="str">
        <f>IFERROR(__xludf.DUMMYFUNCTION(" IF(Account!$F910&lt;&gt;"""", SPLIT(Account!$F910, "" ""), """")"),"")</f>
        <v/>
      </c>
      <c r="X910" s="40"/>
      <c r="Y910" s="40"/>
      <c r="Z910" s="40"/>
      <c r="AA910" s="40"/>
      <c r="AB910" s="40"/>
      <c r="AC910" s="40"/>
      <c r="AD910" s="40"/>
      <c r="AE910" s="40"/>
      <c r="AF910" s="40"/>
      <c r="AG910" s="40"/>
      <c r="AH910" s="40"/>
      <c r="AI910" s="40"/>
      <c r="AJ910" s="40"/>
      <c r="AK910" s="40"/>
    </row>
    <row r="911">
      <c r="A911" s="300"/>
      <c r="B911" s="300"/>
      <c r="C911" s="300"/>
      <c r="D911" s="300"/>
      <c r="E911" s="300"/>
      <c r="F911" s="329"/>
      <c r="G911" s="300"/>
      <c r="H911" s="300"/>
      <c r="I911" s="300"/>
      <c r="J911" s="300"/>
      <c r="K911" s="300"/>
      <c r="L911" s="329"/>
      <c r="M911" s="29" t="str">
        <f t="shared" si="1"/>
        <v/>
      </c>
      <c r="N911" s="31" t="str">
        <f>IFERROR(__xludf.DUMMYFUNCTION("IF(Account!$F911&lt;&gt;"""", VALUE(REGEXREPLACE($I911, ""\,"", ""."")), """")"),"")</f>
        <v/>
      </c>
      <c r="O911" s="33" t="str">
        <f>IF(Account!$F911&lt;&gt;"", DATEVALUE(MID($A911,4,3) &amp; LEFT($A911,3) &amp; RIGHT($A911,4)) + TIMEVALUE($B911), "")</f>
        <v/>
      </c>
      <c r="P911" s="34" t="str">
        <f>IF(Account!$F911&lt;&gt;"", DATEVALUE(MID($C911,4,3) &amp; LEFT($C911,3) &amp; RIGHT($C911,4)), "")</f>
        <v/>
      </c>
      <c r="Q911" s="35" t="str">
        <f t="array" ref="Q911">IF($R911&lt;&gt;"",IFERROR(INDEX(Investment!$A:$A,MATCH($R911,Investment!$H:$H,0))),)</f>
        <v/>
      </c>
      <c r="R911" s="36" t="str">
        <f t="array" ref="R911">IF(AND($Y911="change",$H911="EUR"),IF(AND($AA911="Crédit",$O911=$O912),$R912,IF(AND($AA911="Débit",$O911=$O910),$R910)),IF(OR(AND(OR($E911&lt;&gt;"",$M911=""),$N911&lt;&gt;0),$A911=""),IFERROR(INDEX(Investment!$H:$H,MATCH($E911,Investment!$F:$F,0))),IFERROR(INDEX($R912:$R1119,MATCH(SUBSTITUTE($I911,"-","",1),$K912:$K1119,0)),INDEX($R912:$R1119,MATCH($K911,$K912:$K1119,0)))))</f>
        <v/>
      </c>
      <c r="S911" s="35" t="str">
        <f t="shared" si="2"/>
        <v/>
      </c>
      <c r="T911" s="37" t="str">
        <f t="shared" si="3"/>
        <v/>
      </c>
      <c r="U911" s="38" t="str">
        <f t="shared" si="4"/>
        <v/>
      </c>
      <c r="V911" s="31" t="str">
        <f t="shared" si="5"/>
        <v/>
      </c>
      <c r="W911" s="39" t="str">
        <f>IFERROR(__xludf.DUMMYFUNCTION(" IF(Account!$F911&lt;&gt;"""", SPLIT(Account!$F911, "" ""), """")"),"")</f>
        <v/>
      </c>
      <c r="X911" s="40"/>
      <c r="Y911" s="40"/>
      <c r="Z911" s="40"/>
      <c r="AA911" s="40"/>
      <c r="AB911" s="40"/>
      <c r="AC911" s="40"/>
      <c r="AD911" s="40"/>
      <c r="AE911" s="40"/>
      <c r="AF911" s="40"/>
      <c r="AG911" s="40"/>
      <c r="AH911" s="40"/>
      <c r="AI911" s="40"/>
      <c r="AJ911" s="40"/>
      <c r="AK911" s="40"/>
    </row>
    <row r="912">
      <c r="A912" s="300"/>
      <c r="B912" s="300"/>
      <c r="C912" s="300"/>
      <c r="D912" s="300"/>
      <c r="E912" s="300"/>
      <c r="F912" s="329"/>
      <c r="G912" s="300"/>
      <c r="H912" s="300"/>
      <c r="I912" s="300"/>
      <c r="J912" s="300"/>
      <c r="K912" s="300"/>
      <c r="L912" s="329"/>
      <c r="M912" s="29" t="str">
        <f t="shared" si="1"/>
        <v/>
      </c>
      <c r="N912" s="31" t="str">
        <f>IFERROR(__xludf.DUMMYFUNCTION("IF(Account!$F912&lt;&gt;"""", VALUE(REGEXREPLACE($I912, ""\,"", ""."")), """")"),"")</f>
        <v/>
      </c>
      <c r="O912" s="33" t="str">
        <f>IF(Account!$F912&lt;&gt;"", DATEVALUE(MID($A912,4,3) &amp; LEFT($A912,3) &amp; RIGHT($A912,4)) + TIMEVALUE($B912), "")</f>
        <v/>
      </c>
      <c r="P912" s="34" t="str">
        <f>IF(Account!$F912&lt;&gt;"", DATEVALUE(MID($C912,4,3) &amp; LEFT($C912,3) &amp; RIGHT($C912,4)), "")</f>
        <v/>
      </c>
      <c r="Q912" s="35" t="str">
        <f t="array" ref="Q912">IF($R912&lt;&gt;"",IFERROR(INDEX(Investment!$A:$A,MATCH($R912,Investment!$H:$H,0))),)</f>
        <v/>
      </c>
      <c r="R912" s="36" t="str">
        <f t="array" ref="R912">IF(AND($Y912="change",$H912="EUR"),IF(AND($AA912="Crédit",$O912=$O913),$R913,IF(AND($AA912="Débit",$O912=$O911),$R911)),IF(OR(AND(OR($E912&lt;&gt;"",$M912=""),$N912&lt;&gt;0),$A912=""),IFERROR(INDEX(Investment!$H:$H,MATCH($E912,Investment!$F:$F,0))),IFERROR(INDEX($R913:$R1119,MATCH(SUBSTITUTE($I912,"-","",1),$K913:$K1119,0)),INDEX($R913:$R1119,MATCH($K912,$K913:$K1119,0)))))</f>
        <v/>
      </c>
      <c r="S912" s="35" t="str">
        <f t="shared" si="2"/>
        <v/>
      </c>
      <c r="T912" s="37" t="str">
        <f t="shared" si="3"/>
        <v/>
      </c>
      <c r="U912" s="38" t="str">
        <f t="shared" si="4"/>
        <v/>
      </c>
      <c r="V912" s="31" t="str">
        <f t="shared" si="5"/>
        <v/>
      </c>
      <c r="W912" s="39" t="str">
        <f>IFERROR(__xludf.DUMMYFUNCTION(" IF(Account!$F912&lt;&gt;"""", SPLIT(Account!$F912, "" ""), """")"),"")</f>
        <v/>
      </c>
      <c r="X912" s="40"/>
      <c r="Y912" s="40"/>
      <c r="Z912" s="40"/>
      <c r="AA912" s="40"/>
      <c r="AB912" s="40"/>
      <c r="AC912" s="40"/>
      <c r="AD912" s="40"/>
      <c r="AE912" s="40"/>
      <c r="AF912" s="40"/>
      <c r="AG912" s="40"/>
      <c r="AH912" s="40"/>
      <c r="AI912" s="40"/>
      <c r="AJ912" s="40"/>
      <c r="AK912" s="40"/>
    </row>
    <row r="913">
      <c r="A913" s="300"/>
      <c r="B913" s="300"/>
      <c r="C913" s="300"/>
      <c r="D913" s="300"/>
      <c r="E913" s="300"/>
      <c r="F913" s="329"/>
      <c r="G913" s="300"/>
      <c r="H913" s="300"/>
      <c r="I913" s="300"/>
      <c r="J913" s="300"/>
      <c r="K913" s="300"/>
      <c r="L913" s="329"/>
      <c r="M913" s="29" t="str">
        <f t="shared" si="1"/>
        <v/>
      </c>
      <c r="N913" s="31" t="str">
        <f>IFERROR(__xludf.DUMMYFUNCTION("IF(Account!$F913&lt;&gt;"""", VALUE(REGEXREPLACE($I913, ""\,"", ""."")), """")"),"")</f>
        <v/>
      </c>
      <c r="O913" s="33" t="str">
        <f>IF(Account!$F913&lt;&gt;"", DATEVALUE(MID($A913,4,3) &amp; LEFT($A913,3) &amp; RIGHT($A913,4)) + TIMEVALUE($B913), "")</f>
        <v/>
      </c>
      <c r="P913" s="34" t="str">
        <f>IF(Account!$F913&lt;&gt;"", DATEVALUE(MID($C913,4,3) &amp; LEFT($C913,3) &amp; RIGHT($C913,4)), "")</f>
        <v/>
      </c>
      <c r="Q913" s="35" t="str">
        <f t="array" ref="Q913">IF($R913&lt;&gt;"",IFERROR(INDEX(Investment!$A:$A,MATCH($R913,Investment!$H:$H,0))),)</f>
        <v/>
      </c>
      <c r="R913" s="36" t="str">
        <f t="array" ref="R913">IF(AND($Y913="change",$H913="EUR"),IF(AND($AA913="Crédit",$O913=$O914),$R914,IF(AND($AA913="Débit",$O913=$O912),$R912)),IF(OR(AND(OR($E913&lt;&gt;"",$M913=""),$N913&lt;&gt;0),$A913=""),IFERROR(INDEX(Investment!$H:$H,MATCH($E913,Investment!$F:$F,0))),IFERROR(INDEX($R914:$R1119,MATCH(SUBSTITUTE($I913,"-","",1),$K914:$K1119,0)),INDEX($R914:$R1119,MATCH($K913,$K914:$K1119,0)))))</f>
        <v/>
      </c>
      <c r="S913" s="35" t="str">
        <f t="shared" si="2"/>
        <v/>
      </c>
      <c r="T913" s="37" t="str">
        <f t="shared" si="3"/>
        <v/>
      </c>
      <c r="U913" s="38" t="str">
        <f t="shared" si="4"/>
        <v/>
      </c>
      <c r="V913" s="31" t="str">
        <f t="shared" si="5"/>
        <v/>
      </c>
      <c r="W913" s="39" t="str">
        <f>IFERROR(__xludf.DUMMYFUNCTION(" IF(Account!$F913&lt;&gt;"""", SPLIT(Account!$F913, "" ""), """")"),"")</f>
        <v/>
      </c>
      <c r="X913" s="40"/>
      <c r="Y913" s="40"/>
      <c r="Z913" s="40"/>
      <c r="AA913" s="40"/>
      <c r="AB913" s="40"/>
      <c r="AC913" s="40"/>
      <c r="AD913" s="40"/>
      <c r="AE913" s="40"/>
      <c r="AF913" s="40"/>
      <c r="AG913" s="40"/>
      <c r="AH913" s="40"/>
      <c r="AI913" s="40"/>
      <c r="AJ913" s="40"/>
      <c r="AK913" s="40"/>
    </row>
    <row r="914">
      <c r="A914" s="300"/>
      <c r="B914" s="300"/>
      <c r="C914" s="300"/>
      <c r="D914" s="300"/>
      <c r="E914" s="300"/>
      <c r="F914" s="329"/>
      <c r="G914" s="300"/>
      <c r="H914" s="300"/>
      <c r="I914" s="300"/>
      <c r="J914" s="300"/>
      <c r="K914" s="300"/>
      <c r="L914" s="329"/>
      <c r="M914" s="29" t="str">
        <f t="shared" si="1"/>
        <v/>
      </c>
      <c r="N914" s="31" t="str">
        <f>IFERROR(__xludf.DUMMYFUNCTION("IF(Account!$F914&lt;&gt;"""", VALUE(REGEXREPLACE($I914, ""\,"", ""."")), """")"),"")</f>
        <v/>
      </c>
      <c r="O914" s="33" t="str">
        <f>IF(Account!$F914&lt;&gt;"", DATEVALUE(MID($A914,4,3) &amp; LEFT($A914,3) &amp; RIGHT($A914,4)) + TIMEVALUE($B914), "")</f>
        <v/>
      </c>
      <c r="P914" s="34" t="str">
        <f>IF(Account!$F914&lt;&gt;"", DATEVALUE(MID($C914,4,3) &amp; LEFT($C914,3) &amp; RIGHT($C914,4)), "")</f>
        <v/>
      </c>
      <c r="Q914" s="35" t="str">
        <f t="array" ref="Q914">IF($R914&lt;&gt;"",IFERROR(INDEX(Investment!$A:$A,MATCH($R914,Investment!$H:$H,0))),)</f>
        <v/>
      </c>
      <c r="R914" s="36" t="str">
        <f t="array" ref="R914">IF(AND($Y914="change",$H914="EUR"),IF(AND($AA914="Crédit",$O914=$O915),$R915,IF(AND($AA914="Débit",$O914=$O913),$R913)),IF(OR(AND(OR($E914&lt;&gt;"",$M914=""),$N914&lt;&gt;0),$A914=""),IFERROR(INDEX(Investment!$H:$H,MATCH($E914,Investment!$F:$F,0))),IFERROR(INDEX($R915:$R1119,MATCH(SUBSTITUTE($I914,"-","",1),$K915:$K1119,0)),INDEX($R915:$R1119,MATCH($K914,$K915:$K1119,0)))))</f>
        <v/>
      </c>
      <c r="S914" s="35" t="str">
        <f t="shared" si="2"/>
        <v/>
      </c>
      <c r="T914" s="37" t="str">
        <f t="shared" si="3"/>
        <v/>
      </c>
      <c r="U914" s="38" t="str">
        <f t="shared" si="4"/>
        <v/>
      </c>
      <c r="V914" s="31" t="str">
        <f t="shared" si="5"/>
        <v/>
      </c>
      <c r="W914" s="39" t="str">
        <f>IFERROR(__xludf.DUMMYFUNCTION(" IF(Account!$F914&lt;&gt;"""", SPLIT(Account!$F914, "" ""), """")"),"")</f>
        <v/>
      </c>
      <c r="X914" s="40"/>
      <c r="Y914" s="40"/>
      <c r="Z914" s="40"/>
      <c r="AA914" s="40"/>
      <c r="AB914" s="40"/>
      <c r="AC914" s="40"/>
      <c r="AD914" s="40"/>
      <c r="AE914" s="40"/>
      <c r="AF914" s="40"/>
      <c r="AG914" s="40"/>
      <c r="AH914" s="40"/>
      <c r="AI914" s="40"/>
      <c r="AJ914" s="40"/>
      <c r="AK914" s="40"/>
    </row>
    <row r="915">
      <c r="A915" s="300"/>
      <c r="B915" s="300"/>
      <c r="C915" s="300"/>
      <c r="D915" s="300"/>
      <c r="E915" s="300"/>
      <c r="F915" s="329"/>
      <c r="G915" s="300"/>
      <c r="H915" s="300"/>
      <c r="I915" s="300"/>
      <c r="J915" s="300"/>
      <c r="K915" s="300"/>
      <c r="L915" s="329"/>
      <c r="M915" s="29" t="str">
        <f t="shared" si="1"/>
        <v/>
      </c>
      <c r="N915" s="31" t="str">
        <f>IFERROR(__xludf.DUMMYFUNCTION("IF(Account!$F915&lt;&gt;"""", VALUE(REGEXREPLACE($I915, ""\,"", ""."")), """")"),"")</f>
        <v/>
      </c>
      <c r="O915" s="33" t="str">
        <f>IF(Account!$F915&lt;&gt;"", DATEVALUE(MID($A915,4,3) &amp; LEFT($A915,3) &amp; RIGHT($A915,4)) + TIMEVALUE($B915), "")</f>
        <v/>
      </c>
      <c r="P915" s="34" t="str">
        <f>IF(Account!$F915&lt;&gt;"", DATEVALUE(MID($C915,4,3) &amp; LEFT($C915,3) &amp; RIGHT($C915,4)), "")</f>
        <v/>
      </c>
      <c r="Q915" s="35" t="str">
        <f t="array" ref="Q915">IF($R915&lt;&gt;"",IFERROR(INDEX(Investment!$A:$A,MATCH($R915,Investment!$H:$H,0))),)</f>
        <v/>
      </c>
      <c r="R915" s="36" t="str">
        <f t="array" ref="R915">IF(AND($Y915="change",$H915="EUR"),IF(AND($AA915="Crédit",$O915=$O916),$R916,IF(AND($AA915="Débit",$O915=$O914),$R914)),IF(OR(AND(OR($E915&lt;&gt;"",$M915=""),$N915&lt;&gt;0),$A915=""),IFERROR(INDEX(Investment!$H:$H,MATCH($E915,Investment!$F:$F,0))),IFERROR(INDEX($R916:$R1119,MATCH(SUBSTITUTE($I915,"-","",1),$K916:$K1119,0)),INDEX($R916:$R1119,MATCH($K915,$K916:$K1119,0)))))</f>
        <v/>
      </c>
      <c r="S915" s="35" t="str">
        <f t="shared" si="2"/>
        <v/>
      </c>
      <c r="T915" s="37" t="str">
        <f t="shared" si="3"/>
        <v/>
      </c>
      <c r="U915" s="38" t="str">
        <f t="shared" si="4"/>
        <v/>
      </c>
      <c r="V915" s="31" t="str">
        <f t="shared" si="5"/>
        <v/>
      </c>
      <c r="W915" s="39" t="str">
        <f>IFERROR(__xludf.DUMMYFUNCTION(" IF(Account!$F915&lt;&gt;"""", SPLIT(Account!$F915, "" ""), """")"),"")</f>
        <v/>
      </c>
      <c r="X915" s="40"/>
      <c r="Y915" s="40"/>
      <c r="Z915" s="40"/>
      <c r="AA915" s="40"/>
      <c r="AB915" s="40"/>
      <c r="AC915" s="40"/>
      <c r="AD915" s="40"/>
      <c r="AE915" s="40"/>
      <c r="AF915" s="40"/>
      <c r="AG915" s="40"/>
      <c r="AH915" s="40"/>
      <c r="AI915" s="40"/>
      <c r="AJ915" s="40"/>
      <c r="AK915" s="40"/>
    </row>
    <row r="916">
      <c r="A916" s="300"/>
      <c r="B916" s="300"/>
      <c r="C916" s="300"/>
      <c r="D916" s="300"/>
      <c r="E916" s="300"/>
      <c r="F916" s="329"/>
      <c r="G916" s="300"/>
      <c r="H916" s="300"/>
      <c r="I916" s="300"/>
      <c r="J916" s="300"/>
      <c r="K916" s="300"/>
      <c r="L916" s="329"/>
      <c r="M916" s="29" t="str">
        <f t="shared" si="1"/>
        <v/>
      </c>
      <c r="N916" s="31" t="str">
        <f>IFERROR(__xludf.DUMMYFUNCTION("IF(Account!$F916&lt;&gt;"""", VALUE(REGEXREPLACE($I916, ""\,"", ""."")), """")"),"")</f>
        <v/>
      </c>
      <c r="O916" s="33" t="str">
        <f>IF(Account!$F916&lt;&gt;"", DATEVALUE(MID($A916,4,3) &amp; LEFT($A916,3) &amp; RIGHT($A916,4)) + TIMEVALUE($B916), "")</f>
        <v/>
      </c>
      <c r="P916" s="34" t="str">
        <f>IF(Account!$F916&lt;&gt;"", DATEVALUE(MID($C916,4,3) &amp; LEFT($C916,3) &amp; RIGHT($C916,4)), "")</f>
        <v/>
      </c>
      <c r="Q916" s="35" t="str">
        <f t="array" ref="Q916">IF($R916&lt;&gt;"",IFERROR(INDEX(Investment!$A:$A,MATCH($R916,Investment!$H:$H,0))),)</f>
        <v/>
      </c>
      <c r="R916" s="36" t="str">
        <f t="array" ref="R916">IF(AND($Y916="change",$H916="EUR"),IF(AND($AA916="Crédit",$O916=$O917),$R917,IF(AND($AA916="Débit",$O916=$O915),$R915)),IF(OR(AND(OR($E916&lt;&gt;"",$M916=""),$N916&lt;&gt;0),$A916=""),IFERROR(INDEX(Investment!$H:$H,MATCH($E916,Investment!$F:$F,0))),IFERROR(INDEX($R917:$R1119,MATCH(SUBSTITUTE($I916,"-","",1),$K917:$K1119,0)),INDEX($R917:$R1119,MATCH($K916,$K917:$K1119,0)))))</f>
        <v/>
      </c>
      <c r="S916" s="35" t="str">
        <f t="shared" si="2"/>
        <v/>
      </c>
      <c r="T916" s="37" t="str">
        <f t="shared" si="3"/>
        <v/>
      </c>
      <c r="U916" s="38" t="str">
        <f t="shared" si="4"/>
        <v/>
      </c>
      <c r="V916" s="31" t="str">
        <f t="shared" si="5"/>
        <v/>
      </c>
      <c r="W916" s="39" t="str">
        <f>IFERROR(__xludf.DUMMYFUNCTION(" IF(Account!$F916&lt;&gt;"""", SPLIT(Account!$F916, "" ""), """")"),"")</f>
        <v/>
      </c>
      <c r="X916" s="40"/>
      <c r="Y916" s="40"/>
      <c r="Z916" s="40"/>
      <c r="AA916" s="40"/>
      <c r="AB916" s="40"/>
      <c r="AC916" s="40"/>
      <c r="AD916" s="40"/>
      <c r="AE916" s="40"/>
      <c r="AF916" s="40"/>
      <c r="AG916" s="40"/>
      <c r="AH916" s="40"/>
      <c r="AI916" s="40"/>
      <c r="AJ916" s="40"/>
      <c r="AK916" s="40"/>
    </row>
    <row r="917">
      <c r="A917" s="300"/>
      <c r="B917" s="300"/>
      <c r="C917" s="300"/>
      <c r="D917" s="300"/>
      <c r="E917" s="300"/>
      <c r="F917" s="329"/>
      <c r="G917" s="300"/>
      <c r="H917" s="300"/>
      <c r="I917" s="300"/>
      <c r="J917" s="300"/>
      <c r="K917" s="300"/>
      <c r="L917" s="329"/>
      <c r="M917" s="29" t="str">
        <f t="shared" si="1"/>
        <v/>
      </c>
      <c r="N917" s="31" t="str">
        <f>IFERROR(__xludf.DUMMYFUNCTION("IF(Account!$F917&lt;&gt;"""", VALUE(REGEXREPLACE($I917, ""\,"", ""."")), """")"),"")</f>
        <v/>
      </c>
      <c r="O917" s="33" t="str">
        <f>IF(Account!$F917&lt;&gt;"", DATEVALUE(MID($A917,4,3) &amp; LEFT($A917,3) &amp; RIGHT($A917,4)) + TIMEVALUE($B917), "")</f>
        <v/>
      </c>
      <c r="P917" s="34" t="str">
        <f>IF(Account!$F917&lt;&gt;"", DATEVALUE(MID($C917,4,3) &amp; LEFT($C917,3) &amp; RIGHT($C917,4)), "")</f>
        <v/>
      </c>
      <c r="Q917" s="35" t="str">
        <f t="array" ref="Q917">IF($R917&lt;&gt;"",IFERROR(INDEX(Investment!$A:$A,MATCH($R917,Investment!$H:$H,0))),)</f>
        <v/>
      </c>
      <c r="R917" s="36" t="str">
        <f t="array" ref="R917">IF(AND($Y917="change",$H917="EUR"),IF(AND($AA917="Crédit",$O917=$O918),$R918,IF(AND($AA917="Débit",$O917=$O916),$R916)),IF(OR(AND(OR($E917&lt;&gt;"",$M917=""),$N917&lt;&gt;0),$A917=""),IFERROR(INDEX(Investment!$H:$H,MATCH($E917,Investment!$F:$F,0))),IFERROR(INDEX($R918:$R1119,MATCH(SUBSTITUTE($I917,"-","",1),$K918:$K1119,0)),INDEX($R918:$R1119,MATCH($K917,$K918:$K1119,0)))))</f>
        <v/>
      </c>
      <c r="S917" s="35" t="str">
        <f t="shared" si="2"/>
        <v/>
      </c>
      <c r="T917" s="37" t="str">
        <f t="shared" si="3"/>
        <v/>
      </c>
      <c r="U917" s="38" t="str">
        <f t="shared" si="4"/>
        <v/>
      </c>
      <c r="V917" s="31" t="str">
        <f t="shared" si="5"/>
        <v/>
      </c>
      <c r="W917" s="39" t="str">
        <f>IFERROR(__xludf.DUMMYFUNCTION(" IF(Account!$F917&lt;&gt;"""", SPLIT(Account!$F917, "" ""), """")"),"")</f>
        <v/>
      </c>
      <c r="X917" s="40"/>
      <c r="Y917" s="40"/>
      <c r="Z917" s="40"/>
      <c r="AA917" s="40"/>
      <c r="AB917" s="40"/>
      <c r="AC917" s="40"/>
      <c r="AD917" s="40"/>
      <c r="AE917" s="40"/>
      <c r="AF917" s="40"/>
      <c r="AG917" s="40"/>
      <c r="AH917" s="40"/>
      <c r="AI917" s="40"/>
      <c r="AJ917" s="40"/>
      <c r="AK917" s="40"/>
    </row>
    <row r="918">
      <c r="A918" s="300"/>
      <c r="B918" s="300"/>
      <c r="C918" s="300"/>
      <c r="D918" s="300"/>
      <c r="E918" s="300"/>
      <c r="F918" s="329"/>
      <c r="G918" s="300"/>
      <c r="H918" s="300"/>
      <c r="I918" s="300"/>
      <c r="J918" s="300"/>
      <c r="K918" s="300"/>
      <c r="L918" s="329"/>
      <c r="M918" s="29" t="str">
        <f t="shared" si="1"/>
        <v/>
      </c>
      <c r="N918" s="31" t="str">
        <f>IFERROR(__xludf.DUMMYFUNCTION("IF(Account!$F918&lt;&gt;"""", VALUE(REGEXREPLACE($I918, ""\,"", ""."")), """")"),"")</f>
        <v/>
      </c>
      <c r="O918" s="33" t="str">
        <f>IF(Account!$F918&lt;&gt;"", DATEVALUE(MID($A918,4,3) &amp; LEFT($A918,3) &amp; RIGHT($A918,4)) + TIMEVALUE($B918), "")</f>
        <v/>
      </c>
      <c r="P918" s="34" t="str">
        <f>IF(Account!$F918&lt;&gt;"", DATEVALUE(MID($C918,4,3) &amp; LEFT($C918,3) &amp; RIGHT($C918,4)), "")</f>
        <v/>
      </c>
      <c r="Q918" s="35" t="str">
        <f t="array" ref="Q918">IF($R918&lt;&gt;"",IFERROR(INDEX(Investment!$A:$A,MATCH($R918,Investment!$H:$H,0))),)</f>
        <v/>
      </c>
      <c r="R918" s="36" t="str">
        <f t="array" ref="R918">IF(AND($Y918="change",$H918="EUR"),IF(AND($AA918="Crédit",$O918=$O919),$R919,IF(AND($AA918="Débit",$O918=$O917),$R917)),IF(OR(AND(OR($E918&lt;&gt;"",$M918=""),$N918&lt;&gt;0),$A918=""),IFERROR(INDEX(Investment!$H:$H,MATCH($E918,Investment!$F:$F,0))),IFERROR(INDEX($R919:$R1119,MATCH(SUBSTITUTE($I918,"-","",1),$K919:$K1119,0)),INDEX($R919:$R1119,MATCH($K918,$K919:$K1119,0)))))</f>
        <v/>
      </c>
      <c r="S918" s="35" t="str">
        <f t="shared" si="2"/>
        <v/>
      </c>
      <c r="T918" s="37" t="str">
        <f t="shared" si="3"/>
        <v/>
      </c>
      <c r="U918" s="38" t="str">
        <f t="shared" si="4"/>
        <v/>
      </c>
      <c r="V918" s="31" t="str">
        <f t="shared" si="5"/>
        <v/>
      </c>
      <c r="W918" s="39" t="str">
        <f>IFERROR(__xludf.DUMMYFUNCTION(" IF(Account!$F918&lt;&gt;"""", SPLIT(Account!$F918, "" ""), """")"),"")</f>
        <v/>
      </c>
      <c r="X918" s="40"/>
      <c r="Y918" s="40"/>
      <c r="Z918" s="40"/>
      <c r="AA918" s="40"/>
      <c r="AB918" s="40"/>
      <c r="AC918" s="40"/>
      <c r="AD918" s="40"/>
      <c r="AE918" s="40"/>
      <c r="AF918" s="40"/>
      <c r="AG918" s="40"/>
      <c r="AH918" s="40"/>
      <c r="AI918" s="40"/>
      <c r="AJ918" s="40"/>
      <c r="AK918" s="40"/>
    </row>
    <row r="919">
      <c r="A919" s="300"/>
      <c r="B919" s="300"/>
      <c r="C919" s="300"/>
      <c r="D919" s="300"/>
      <c r="E919" s="300"/>
      <c r="F919" s="329"/>
      <c r="G919" s="300"/>
      <c r="H919" s="300"/>
      <c r="I919" s="300"/>
      <c r="J919" s="300"/>
      <c r="K919" s="300"/>
      <c r="L919" s="329"/>
      <c r="M919" s="29" t="str">
        <f t="shared" si="1"/>
        <v/>
      </c>
      <c r="N919" s="31" t="str">
        <f>IFERROR(__xludf.DUMMYFUNCTION("IF(Account!$F919&lt;&gt;"""", VALUE(REGEXREPLACE($I919, ""\,"", ""."")), """")"),"")</f>
        <v/>
      </c>
      <c r="O919" s="33" t="str">
        <f>IF(Account!$F919&lt;&gt;"", DATEVALUE(MID($A919,4,3) &amp; LEFT($A919,3) &amp; RIGHT($A919,4)) + TIMEVALUE($B919), "")</f>
        <v/>
      </c>
      <c r="P919" s="34" t="str">
        <f>IF(Account!$F919&lt;&gt;"", DATEVALUE(MID($C919,4,3) &amp; LEFT($C919,3) &amp; RIGHT($C919,4)), "")</f>
        <v/>
      </c>
      <c r="Q919" s="35" t="str">
        <f t="array" ref="Q919">IF($R919&lt;&gt;"",IFERROR(INDEX(Investment!$A:$A,MATCH($R919,Investment!$H:$H,0))),)</f>
        <v/>
      </c>
      <c r="R919" s="36" t="str">
        <f t="array" ref="R919">IF(AND($Y919="change",$H919="EUR"),IF(AND($AA919="Crédit",$O919=$O920),$R920,IF(AND($AA919="Débit",$O919=$O918),$R918)),IF(OR(AND(OR($E919&lt;&gt;"",$M919=""),$N919&lt;&gt;0),$A919=""),IFERROR(INDEX(Investment!$H:$H,MATCH($E919,Investment!$F:$F,0))),IFERROR(INDEX($R920:$R1119,MATCH(SUBSTITUTE($I919,"-","",1),$K920:$K1119,0)),INDEX($R920:$R1119,MATCH($K919,$K920:$K1119,0)))))</f>
        <v/>
      </c>
      <c r="S919" s="35" t="str">
        <f t="shared" si="2"/>
        <v/>
      </c>
      <c r="T919" s="37" t="str">
        <f t="shared" si="3"/>
        <v/>
      </c>
      <c r="U919" s="38" t="str">
        <f t="shared" si="4"/>
        <v/>
      </c>
      <c r="V919" s="31" t="str">
        <f t="shared" si="5"/>
        <v/>
      </c>
      <c r="W919" s="39" t="str">
        <f>IFERROR(__xludf.DUMMYFUNCTION(" IF(Account!$F919&lt;&gt;"""", SPLIT(Account!$F919, "" ""), """")"),"")</f>
        <v/>
      </c>
      <c r="X919" s="40"/>
      <c r="Y919" s="40"/>
      <c r="Z919" s="40"/>
      <c r="AA919" s="40"/>
      <c r="AB919" s="40"/>
      <c r="AC919" s="40"/>
      <c r="AD919" s="40"/>
      <c r="AE919" s="40"/>
      <c r="AF919" s="40"/>
      <c r="AG919" s="40"/>
      <c r="AH919" s="40"/>
      <c r="AI919" s="40"/>
      <c r="AJ919" s="40"/>
      <c r="AK919" s="40"/>
    </row>
    <row r="920">
      <c r="A920" s="300"/>
      <c r="B920" s="300"/>
      <c r="C920" s="300"/>
      <c r="D920" s="300"/>
      <c r="E920" s="300"/>
      <c r="F920" s="329"/>
      <c r="G920" s="300"/>
      <c r="H920" s="300"/>
      <c r="I920" s="300"/>
      <c r="J920" s="300"/>
      <c r="K920" s="300"/>
      <c r="L920" s="329"/>
      <c r="M920" s="29" t="str">
        <f t="shared" si="1"/>
        <v/>
      </c>
      <c r="N920" s="31" t="str">
        <f>IFERROR(__xludf.DUMMYFUNCTION("IF(Account!$F920&lt;&gt;"""", VALUE(REGEXREPLACE($I920, ""\,"", ""."")), """")"),"")</f>
        <v/>
      </c>
      <c r="O920" s="33" t="str">
        <f>IF(Account!$F920&lt;&gt;"", DATEVALUE(MID($A920,4,3) &amp; LEFT($A920,3) &amp; RIGHT($A920,4)) + TIMEVALUE($B920), "")</f>
        <v/>
      </c>
      <c r="P920" s="34" t="str">
        <f>IF(Account!$F920&lt;&gt;"", DATEVALUE(MID($C920,4,3) &amp; LEFT($C920,3) &amp; RIGHT($C920,4)), "")</f>
        <v/>
      </c>
      <c r="Q920" s="35" t="str">
        <f t="array" ref="Q920">IF($R920&lt;&gt;"",IFERROR(INDEX(Investment!$A:$A,MATCH($R920,Investment!$H:$H,0))),)</f>
        <v/>
      </c>
      <c r="R920" s="36" t="str">
        <f t="array" ref="R920">IF(AND($Y920="change",$H920="EUR"),IF(AND($AA920="Crédit",$O920=$O921),$R921,IF(AND($AA920="Débit",$O920=$O919),$R919)),IF(OR(AND(OR($E920&lt;&gt;"",$M920=""),$N920&lt;&gt;0),$A920=""),IFERROR(INDEX(Investment!$H:$H,MATCH($E920,Investment!$F:$F,0))),IFERROR(INDEX($R921:$R1119,MATCH(SUBSTITUTE($I920,"-","",1),$K921:$K1119,0)),INDEX($R921:$R1119,MATCH($K920,$K921:$K1119,0)))))</f>
        <v/>
      </c>
      <c r="S920" s="35" t="str">
        <f t="shared" si="2"/>
        <v/>
      </c>
      <c r="T920" s="37" t="str">
        <f t="shared" si="3"/>
        <v/>
      </c>
      <c r="U920" s="38" t="str">
        <f t="shared" si="4"/>
        <v/>
      </c>
      <c r="V920" s="31" t="str">
        <f t="shared" si="5"/>
        <v/>
      </c>
      <c r="W920" s="39" t="str">
        <f>IFERROR(__xludf.DUMMYFUNCTION(" IF(Account!$F920&lt;&gt;"""", SPLIT(Account!$F920, "" ""), """")"),"")</f>
        <v/>
      </c>
      <c r="X920" s="40"/>
      <c r="Y920" s="40"/>
      <c r="Z920" s="40"/>
      <c r="AA920" s="40"/>
      <c r="AB920" s="40"/>
      <c r="AC920" s="40"/>
      <c r="AD920" s="40"/>
      <c r="AE920" s="40"/>
      <c r="AF920" s="40"/>
      <c r="AG920" s="40"/>
      <c r="AH920" s="40"/>
      <c r="AI920" s="40"/>
      <c r="AJ920" s="40"/>
      <c r="AK920" s="40"/>
    </row>
    <row r="921">
      <c r="A921" s="300"/>
      <c r="B921" s="300"/>
      <c r="C921" s="300"/>
      <c r="D921" s="300"/>
      <c r="E921" s="300"/>
      <c r="F921" s="329"/>
      <c r="G921" s="300"/>
      <c r="H921" s="300"/>
      <c r="I921" s="300"/>
      <c r="J921" s="300"/>
      <c r="K921" s="300"/>
      <c r="L921" s="329"/>
      <c r="M921" s="29" t="str">
        <f t="shared" si="1"/>
        <v/>
      </c>
      <c r="N921" s="31" t="str">
        <f>IFERROR(__xludf.DUMMYFUNCTION("IF(Account!$F921&lt;&gt;"""", VALUE(REGEXREPLACE($I921, ""\,"", ""."")), """")"),"")</f>
        <v/>
      </c>
      <c r="O921" s="33" t="str">
        <f>IF(Account!$F921&lt;&gt;"", DATEVALUE(MID($A921,4,3) &amp; LEFT($A921,3) &amp; RIGHT($A921,4)) + TIMEVALUE($B921), "")</f>
        <v/>
      </c>
      <c r="P921" s="34" t="str">
        <f>IF(Account!$F921&lt;&gt;"", DATEVALUE(MID($C921,4,3) &amp; LEFT($C921,3) &amp; RIGHT($C921,4)), "")</f>
        <v/>
      </c>
      <c r="Q921" s="35" t="str">
        <f t="array" ref="Q921">IF($R921&lt;&gt;"",IFERROR(INDEX(Investment!$A:$A,MATCH($R921,Investment!$H:$H,0))),)</f>
        <v/>
      </c>
      <c r="R921" s="36" t="str">
        <f t="array" ref="R921">IF(AND($Y921="change",$H921="EUR"),IF(AND($AA921="Crédit",$O921=$O922),$R922,IF(AND($AA921="Débit",$O921=$O920),$R920)),IF(OR(AND(OR($E921&lt;&gt;"",$M921=""),$N921&lt;&gt;0),$A921=""),IFERROR(INDEX(Investment!$H:$H,MATCH($E921,Investment!$F:$F,0))),IFERROR(INDEX($R922:$R1119,MATCH(SUBSTITUTE($I921,"-","",1),$K922:$K1119,0)),INDEX($R922:$R1119,MATCH($K921,$K922:$K1119,0)))))</f>
        <v/>
      </c>
      <c r="S921" s="35" t="str">
        <f t="shared" si="2"/>
        <v/>
      </c>
      <c r="T921" s="37" t="str">
        <f t="shared" si="3"/>
        <v/>
      </c>
      <c r="U921" s="38" t="str">
        <f t="shared" si="4"/>
        <v/>
      </c>
      <c r="V921" s="31" t="str">
        <f t="shared" si="5"/>
        <v/>
      </c>
      <c r="W921" s="39" t="str">
        <f>IFERROR(__xludf.DUMMYFUNCTION(" IF(Account!$F921&lt;&gt;"""", SPLIT(Account!$F921, "" ""), """")"),"")</f>
        <v/>
      </c>
      <c r="X921" s="40"/>
      <c r="Y921" s="40"/>
      <c r="Z921" s="40"/>
      <c r="AA921" s="40"/>
      <c r="AB921" s="40"/>
      <c r="AC921" s="40"/>
      <c r="AD921" s="40"/>
      <c r="AE921" s="40"/>
      <c r="AF921" s="40"/>
      <c r="AG921" s="40"/>
      <c r="AH921" s="40"/>
      <c r="AI921" s="40"/>
      <c r="AJ921" s="40"/>
      <c r="AK921" s="40"/>
    </row>
    <row r="922">
      <c r="A922" s="300"/>
      <c r="B922" s="300"/>
      <c r="C922" s="300"/>
      <c r="D922" s="300"/>
      <c r="E922" s="300"/>
      <c r="F922" s="329"/>
      <c r="G922" s="300"/>
      <c r="H922" s="300"/>
      <c r="I922" s="300"/>
      <c r="J922" s="300"/>
      <c r="K922" s="300"/>
      <c r="L922" s="329"/>
      <c r="M922" s="29" t="str">
        <f t="shared" si="1"/>
        <v/>
      </c>
      <c r="N922" s="31" t="str">
        <f>IFERROR(__xludf.DUMMYFUNCTION("IF(Account!$F922&lt;&gt;"""", VALUE(REGEXREPLACE($I922, ""\,"", ""."")), """")"),"")</f>
        <v/>
      </c>
      <c r="O922" s="33" t="str">
        <f>IF(Account!$F922&lt;&gt;"", DATEVALUE(MID($A922,4,3) &amp; LEFT($A922,3) &amp; RIGHT($A922,4)) + TIMEVALUE($B922), "")</f>
        <v/>
      </c>
      <c r="P922" s="34" t="str">
        <f>IF(Account!$F922&lt;&gt;"", DATEVALUE(MID($C922,4,3) &amp; LEFT($C922,3) &amp; RIGHT($C922,4)), "")</f>
        <v/>
      </c>
      <c r="Q922" s="35" t="str">
        <f t="array" ref="Q922">IF($R922&lt;&gt;"",IFERROR(INDEX(Investment!$A:$A,MATCH($R922,Investment!$H:$H,0))),)</f>
        <v/>
      </c>
      <c r="R922" s="36" t="str">
        <f t="array" ref="R922">IF(AND($Y922="change",$H922="EUR"),IF(AND($AA922="Crédit",$O922=$O923),$R923,IF(AND($AA922="Débit",$O922=$O921),$R921)),IF(OR(AND(OR($E922&lt;&gt;"",$M922=""),$N922&lt;&gt;0),$A922=""),IFERROR(INDEX(Investment!$H:$H,MATCH($E922,Investment!$F:$F,0))),IFERROR(INDEX($R923:$R1119,MATCH(SUBSTITUTE($I922,"-","",1),$K923:$K1119,0)),INDEX($R923:$R1119,MATCH($K922,$K923:$K1119,0)))))</f>
        <v/>
      </c>
      <c r="S922" s="35" t="str">
        <f t="shared" si="2"/>
        <v/>
      </c>
      <c r="T922" s="37" t="str">
        <f t="shared" si="3"/>
        <v/>
      </c>
      <c r="U922" s="38" t="str">
        <f t="shared" si="4"/>
        <v/>
      </c>
      <c r="V922" s="31" t="str">
        <f t="shared" si="5"/>
        <v/>
      </c>
      <c r="W922" s="39" t="str">
        <f>IFERROR(__xludf.DUMMYFUNCTION(" IF(Account!$F922&lt;&gt;"""", SPLIT(Account!$F922, "" ""), """")"),"")</f>
        <v/>
      </c>
      <c r="X922" s="40"/>
      <c r="Y922" s="40"/>
      <c r="Z922" s="40"/>
      <c r="AA922" s="40"/>
      <c r="AB922" s="40"/>
      <c r="AC922" s="40"/>
      <c r="AD922" s="40"/>
      <c r="AE922" s="40"/>
      <c r="AF922" s="40"/>
      <c r="AG922" s="40"/>
      <c r="AH922" s="40"/>
      <c r="AI922" s="40"/>
      <c r="AJ922" s="40"/>
      <c r="AK922" s="40"/>
    </row>
    <row r="923">
      <c r="A923" s="300"/>
      <c r="B923" s="300"/>
      <c r="C923" s="300"/>
      <c r="D923" s="300"/>
      <c r="E923" s="300"/>
      <c r="F923" s="329"/>
      <c r="G923" s="300"/>
      <c r="H923" s="300"/>
      <c r="I923" s="300"/>
      <c r="J923" s="300"/>
      <c r="K923" s="300"/>
      <c r="L923" s="329"/>
      <c r="M923" s="29" t="str">
        <f t="shared" si="1"/>
        <v/>
      </c>
      <c r="N923" s="31" t="str">
        <f>IFERROR(__xludf.DUMMYFUNCTION("IF(Account!$F923&lt;&gt;"""", VALUE(REGEXREPLACE($I923, ""\,"", ""."")), """")"),"")</f>
        <v/>
      </c>
      <c r="O923" s="33" t="str">
        <f>IF(Account!$F923&lt;&gt;"", DATEVALUE(MID($A923,4,3) &amp; LEFT($A923,3) &amp; RIGHT($A923,4)) + TIMEVALUE($B923), "")</f>
        <v/>
      </c>
      <c r="P923" s="34" t="str">
        <f>IF(Account!$F923&lt;&gt;"", DATEVALUE(MID($C923,4,3) &amp; LEFT($C923,3) &amp; RIGHT($C923,4)), "")</f>
        <v/>
      </c>
      <c r="Q923" s="35" t="str">
        <f t="array" ref="Q923">IF($R923&lt;&gt;"",IFERROR(INDEX(Investment!$A:$A,MATCH($R923,Investment!$H:$H,0))),)</f>
        <v/>
      </c>
      <c r="R923" s="36" t="str">
        <f t="array" ref="R923">IF(AND($Y923="change",$H923="EUR"),IF(AND($AA923="Crédit",$O923=$O924),$R924,IF(AND($AA923="Débit",$O923=$O922),$R922)),IF(OR(AND(OR($E923&lt;&gt;"",$M923=""),$N923&lt;&gt;0),$A923=""),IFERROR(INDEX(Investment!$H:$H,MATCH($E923,Investment!$F:$F,0))),IFERROR(INDEX($R924:$R1119,MATCH(SUBSTITUTE($I923,"-","",1),$K924:$K1119,0)),INDEX($R924:$R1119,MATCH($K923,$K924:$K1119,0)))))</f>
        <v/>
      </c>
      <c r="S923" s="35" t="str">
        <f t="shared" si="2"/>
        <v/>
      </c>
      <c r="T923" s="37" t="str">
        <f t="shared" si="3"/>
        <v/>
      </c>
      <c r="U923" s="38" t="str">
        <f t="shared" si="4"/>
        <v/>
      </c>
      <c r="V923" s="31" t="str">
        <f t="shared" si="5"/>
        <v/>
      </c>
      <c r="W923" s="39" t="str">
        <f>IFERROR(__xludf.DUMMYFUNCTION(" IF(Account!$F923&lt;&gt;"""", SPLIT(Account!$F923, "" ""), """")"),"")</f>
        <v/>
      </c>
      <c r="X923" s="40"/>
      <c r="Y923" s="40"/>
      <c r="Z923" s="40"/>
      <c r="AA923" s="40"/>
      <c r="AB923" s="40"/>
      <c r="AC923" s="40"/>
      <c r="AD923" s="40"/>
      <c r="AE923" s="40"/>
      <c r="AF923" s="40"/>
      <c r="AG923" s="40"/>
      <c r="AH923" s="40"/>
      <c r="AI923" s="40"/>
      <c r="AJ923" s="40"/>
      <c r="AK923" s="40"/>
    </row>
    <row r="924">
      <c r="A924" s="300"/>
      <c r="B924" s="300"/>
      <c r="C924" s="300"/>
      <c r="D924" s="300"/>
      <c r="E924" s="300"/>
      <c r="F924" s="329"/>
      <c r="G924" s="300"/>
      <c r="H924" s="300"/>
      <c r="I924" s="300"/>
      <c r="J924" s="300"/>
      <c r="K924" s="300"/>
      <c r="L924" s="329"/>
      <c r="M924" s="29" t="str">
        <f t="shared" si="1"/>
        <v/>
      </c>
      <c r="N924" s="31" t="str">
        <f>IFERROR(__xludf.DUMMYFUNCTION("IF(Account!$F924&lt;&gt;"""", VALUE(REGEXREPLACE($I924, ""\,"", ""."")), """")"),"")</f>
        <v/>
      </c>
      <c r="O924" s="33" t="str">
        <f>IF(Account!$F924&lt;&gt;"", DATEVALUE(MID($A924,4,3) &amp; LEFT($A924,3) &amp; RIGHT($A924,4)) + TIMEVALUE($B924), "")</f>
        <v/>
      </c>
      <c r="P924" s="34" t="str">
        <f>IF(Account!$F924&lt;&gt;"", DATEVALUE(MID($C924,4,3) &amp; LEFT($C924,3) &amp; RIGHT($C924,4)), "")</f>
        <v/>
      </c>
      <c r="Q924" s="35" t="str">
        <f t="array" ref="Q924">IF($R924&lt;&gt;"",IFERROR(INDEX(Investment!$A:$A,MATCH($R924,Investment!$H:$H,0))),)</f>
        <v/>
      </c>
      <c r="R924" s="36" t="str">
        <f t="array" ref="R924">IF(AND($Y924="change",$H924="EUR"),IF(AND($AA924="Crédit",$O924=$O925),$R925,IF(AND($AA924="Débit",$O924=$O923),$R923)),IF(OR(AND(OR($E924&lt;&gt;"",$M924=""),$N924&lt;&gt;0),$A924=""),IFERROR(INDEX(Investment!$H:$H,MATCH($E924,Investment!$F:$F,0))),IFERROR(INDEX($R925:$R1119,MATCH(SUBSTITUTE($I924,"-","",1),$K925:$K1119,0)),INDEX($R925:$R1119,MATCH($K924,$K925:$K1119,0)))))</f>
        <v/>
      </c>
      <c r="S924" s="35" t="str">
        <f t="shared" si="2"/>
        <v/>
      </c>
      <c r="T924" s="37" t="str">
        <f t="shared" si="3"/>
        <v/>
      </c>
      <c r="U924" s="38" t="str">
        <f t="shared" si="4"/>
        <v/>
      </c>
      <c r="V924" s="31" t="str">
        <f t="shared" si="5"/>
        <v/>
      </c>
      <c r="W924" s="39" t="str">
        <f>IFERROR(__xludf.DUMMYFUNCTION(" IF(Account!$F924&lt;&gt;"""", SPLIT(Account!$F924, "" ""), """")"),"")</f>
        <v/>
      </c>
      <c r="X924" s="40"/>
      <c r="Y924" s="40"/>
      <c r="Z924" s="40"/>
      <c r="AA924" s="40"/>
      <c r="AB924" s="40"/>
      <c r="AC924" s="40"/>
      <c r="AD924" s="40"/>
      <c r="AE924" s="40"/>
      <c r="AF924" s="40"/>
      <c r="AG924" s="40"/>
      <c r="AH924" s="40"/>
      <c r="AI924" s="40"/>
      <c r="AJ924" s="40"/>
      <c r="AK924" s="40"/>
    </row>
    <row r="925">
      <c r="A925" s="300"/>
      <c r="B925" s="300"/>
      <c r="C925" s="300"/>
      <c r="D925" s="300"/>
      <c r="E925" s="300"/>
      <c r="F925" s="329"/>
      <c r="G925" s="300"/>
      <c r="H925" s="300"/>
      <c r="I925" s="300"/>
      <c r="J925" s="300"/>
      <c r="K925" s="300"/>
      <c r="L925" s="329"/>
      <c r="M925" s="29" t="str">
        <f t="shared" si="1"/>
        <v/>
      </c>
      <c r="N925" s="31" t="str">
        <f>IFERROR(__xludf.DUMMYFUNCTION("IF(Account!$F925&lt;&gt;"""", VALUE(REGEXREPLACE($I925, ""\,"", ""."")), """")"),"")</f>
        <v/>
      </c>
      <c r="O925" s="33" t="str">
        <f>IF(Account!$F925&lt;&gt;"", DATEVALUE(MID($A925,4,3) &amp; LEFT($A925,3) &amp; RIGHT($A925,4)) + TIMEVALUE($B925), "")</f>
        <v/>
      </c>
      <c r="P925" s="34" t="str">
        <f>IF(Account!$F925&lt;&gt;"", DATEVALUE(MID($C925,4,3) &amp; LEFT($C925,3) &amp; RIGHT($C925,4)), "")</f>
        <v/>
      </c>
      <c r="Q925" s="35" t="str">
        <f t="array" ref="Q925">IF($R925&lt;&gt;"",IFERROR(INDEX(Investment!$A:$A,MATCH($R925,Investment!$H:$H,0))),)</f>
        <v/>
      </c>
      <c r="R925" s="36" t="str">
        <f t="array" ref="R925">IF(AND($Y925="change",$H925="EUR"),IF(AND($AA925="Crédit",$O925=$O926),$R926,IF(AND($AA925="Débit",$O925=$O924),$R924)),IF(OR(AND(OR($E925&lt;&gt;"",$M925=""),$N925&lt;&gt;0),$A925=""),IFERROR(INDEX(Investment!$H:$H,MATCH($E925,Investment!$F:$F,0))),IFERROR(INDEX($R926:$R1119,MATCH(SUBSTITUTE($I925,"-","",1),$K926:$K1119,0)),INDEX($R926:$R1119,MATCH($K925,$K926:$K1119,0)))))</f>
        <v/>
      </c>
      <c r="S925" s="35" t="str">
        <f t="shared" si="2"/>
        <v/>
      </c>
      <c r="T925" s="37" t="str">
        <f t="shared" si="3"/>
        <v/>
      </c>
      <c r="U925" s="38" t="str">
        <f t="shared" si="4"/>
        <v/>
      </c>
      <c r="V925" s="31" t="str">
        <f t="shared" si="5"/>
        <v/>
      </c>
      <c r="W925" s="39" t="str">
        <f>IFERROR(__xludf.DUMMYFUNCTION(" IF(Account!$F925&lt;&gt;"""", SPLIT(Account!$F925, "" ""), """")"),"")</f>
        <v/>
      </c>
      <c r="X925" s="40"/>
      <c r="Y925" s="40"/>
      <c r="Z925" s="40"/>
      <c r="AA925" s="40"/>
      <c r="AB925" s="40"/>
      <c r="AC925" s="40"/>
      <c r="AD925" s="40"/>
      <c r="AE925" s="40"/>
      <c r="AF925" s="40"/>
      <c r="AG925" s="40"/>
      <c r="AH925" s="40"/>
      <c r="AI925" s="40"/>
      <c r="AJ925" s="40"/>
      <c r="AK925" s="40"/>
    </row>
    <row r="926">
      <c r="A926" s="300"/>
      <c r="B926" s="300"/>
      <c r="C926" s="300"/>
      <c r="D926" s="300"/>
      <c r="E926" s="300"/>
      <c r="F926" s="329"/>
      <c r="G926" s="300"/>
      <c r="H926" s="300"/>
      <c r="I926" s="300"/>
      <c r="J926" s="300"/>
      <c r="K926" s="300"/>
      <c r="L926" s="329"/>
      <c r="M926" s="29" t="str">
        <f t="shared" si="1"/>
        <v/>
      </c>
      <c r="N926" s="31" t="str">
        <f>IFERROR(__xludf.DUMMYFUNCTION("IF(Account!$F926&lt;&gt;"""", VALUE(REGEXREPLACE($I926, ""\,"", ""."")), """")"),"")</f>
        <v/>
      </c>
      <c r="O926" s="33" t="str">
        <f>IF(Account!$F926&lt;&gt;"", DATEVALUE(MID($A926,4,3) &amp; LEFT($A926,3) &amp; RIGHT($A926,4)) + TIMEVALUE($B926), "")</f>
        <v/>
      </c>
      <c r="P926" s="34" t="str">
        <f>IF(Account!$F926&lt;&gt;"", DATEVALUE(MID($C926,4,3) &amp; LEFT($C926,3) &amp; RIGHT($C926,4)), "")</f>
        <v/>
      </c>
      <c r="Q926" s="35" t="str">
        <f t="array" ref="Q926">IF($R926&lt;&gt;"",IFERROR(INDEX(Investment!$A:$A,MATCH($R926,Investment!$H:$H,0))),)</f>
        <v/>
      </c>
      <c r="R926" s="36" t="str">
        <f t="array" ref="R926">IF(AND($Y926="change",$H926="EUR"),IF(AND($AA926="Crédit",$O926=$O927),$R927,IF(AND($AA926="Débit",$O926=$O925),$R925)),IF(OR(AND(OR($E926&lt;&gt;"",$M926=""),$N926&lt;&gt;0),$A926=""),IFERROR(INDEX(Investment!$H:$H,MATCH($E926,Investment!$F:$F,0))),IFERROR(INDEX($R927:$R1119,MATCH(SUBSTITUTE($I926,"-","",1),$K927:$K1119,0)),INDEX($R927:$R1119,MATCH($K926,$K927:$K1119,0)))))</f>
        <v/>
      </c>
      <c r="S926" s="35" t="str">
        <f t="shared" si="2"/>
        <v/>
      </c>
      <c r="T926" s="37" t="str">
        <f t="shared" si="3"/>
        <v/>
      </c>
      <c r="U926" s="38" t="str">
        <f t="shared" si="4"/>
        <v/>
      </c>
      <c r="V926" s="31" t="str">
        <f t="shared" si="5"/>
        <v/>
      </c>
      <c r="W926" s="39" t="str">
        <f>IFERROR(__xludf.DUMMYFUNCTION(" IF(Account!$F926&lt;&gt;"""", SPLIT(Account!$F926, "" ""), """")"),"")</f>
        <v/>
      </c>
      <c r="X926" s="40"/>
      <c r="Y926" s="40"/>
      <c r="Z926" s="40"/>
      <c r="AA926" s="40"/>
      <c r="AB926" s="40"/>
      <c r="AC926" s="40"/>
      <c r="AD926" s="40"/>
      <c r="AE926" s="40"/>
      <c r="AF926" s="40"/>
      <c r="AG926" s="40"/>
      <c r="AH926" s="40"/>
      <c r="AI926" s="40"/>
      <c r="AJ926" s="40"/>
      <c r="AK926" s="40"/>
    </row>
    <row r="927">
      <c r="A927" s="300"/>
      <c r="B927" s="300"/>
      <c r="C927" s="300"/>
      <c r="D927" s="300"/>
      <c r="E927" s="300"/>
      <c r="F927" s="329"/>
      <c r="G927" s="300"/>
      <c r="H927" s="300"/>
      <c r="I927" s="300"/>
      <c r="J927" s="300"/>
      <c r="K927" s="300"/>
      <c r="L927" s="329"/>
      <c r="M927" s="29" t="str">
        <f t="shared" si="1"/>
        <v/>
      </c>
      <c r="N927" s="31" t="str">
        <f>IFERROR(__xludf.DUMMYFUNCTION("IF(Account!$F927&lt;&gt;"""", VALUE(REGEXREPLACE($I927, ""\,"", ""."")), """")"),"")</f>
        <v/>
      </c>
      <c r="O927" s="33" t="str">
        <f>IF(Account!$F927&lt;&gt;"", DATEVALUE(MID($A927,4,3) &amp; LEFT($A927,3) &amp; RIGHT($A927,4)) + TIMEVALUE($B927), "")</f>
        <v/>
      </c>
      <c r="P927" s="34" t="str">
        <f>IF(Account!$F927&lt;&gt;"", DATEVALUE(MID($C927,4,3) &amp; LEFT($C927,3) &amp; RIGHT($C927,4)), "")</f>
        <v/>
      </c>
      <c r="Q927" s="35" t="str">
        <f t="array" ref="Q927">IF($R927&lt;&gt;"",IFERROR(INDEX(Investment!$A:$A,MATCH($R927,Investment!$H:$H,0))),)</f>
        <v/>
      </c>
      <c r="R927" s="36" t="str">
        <f t="array" ref="R927">IF(AND($Y927="change",$H927="EUR"),IF(AND($AA927="Crédit",$O927=$O928),$R928,IF(AND($AA927="Débit",$O927=$O926),$R926)),IF(OR(AND(OR($E927&lt;&gt;"",$M927=""),$N927&lt;&gt;0),$A927=""),IFERROR(INDEX(Investment!$H:$H,MATCH($E927,Investment!$F:$F,0))),IFERROR(INDEX($R928:$R1119,MATCH(SUBSTITUTE($I927,"-","",1),$K928:$K1119,0)),INDEX($R928:$R1119,MATCH($K927,$K928:$K1119,0)))))</f>
        <v/>
      </c>
      <c r="S927" s="35" t="str">
        <f t="shared" si="2"/>
        <v/>
      </c>
      <c r="T927" s="37" t="str">
        <f t="shared" si="3"/>
        <v/>
      </c>
      <c r="U927" s="38" t="str">
        <f t="shared" si="4"/>
        <v/>
      </c>
      <c r="V927" s="31" t="str">
        <f t="shared" si="5"/>
        <v/>
      </c>
      <c r="W927" s="39" t="str">
        <f>IFERROR(__xludf.DUMMYFUNCTION(" IF(Account!$F927&lt;&gt;"""", SPLIT(Account!$F927, "" ""), """")"),"")</f>
        <v/>
      </c>
      <c r="X927" s="40"/>
      <c r="Y927" s="40"/>
      <c r="Z927" s="40"/>
      <c r="AA927" s="40"/>
      <c r="AB927" s="40"/>
      <c r="AC927" s="40"/>
      <c r="AD927" s="40"/>
      <c r="AE927" s="40"/>
      <c r="AF927" s="40"/>
      <c r="AG927" s="40"/>
      <c r="AH927" s="40"/>
      <c r="AI927" s="40"/>
      <c r="AJ927" s="40"/>
      <c r="AK927" s="40"/>
    </row>
    <row r="928">
      <c r="A928" s="300"/>
      <c r="B928" s="300"/>
      <c r="C928" s="300"/>
      <c r="D928" s="300"/>
      <c r="E928" s="300"/>
      <c r="F928" s="329"/>
      <c r="G928" s="300"/>
      <c r="H928" s="300"/>
      <c r="I928" s="300"/>
      <c r="J928" s="300"/>
      <c r="K928" s="300"/>
      <c r="L928" s="329"/>
      <c r="M928" s="29" t="str">
        <f t="shared" si="1"/>
        <v/>
      </c>
      <c r="N928" s="31" t="str">
        <f>IFERROR(__xludf.DUMMYFUNCTION("IF(Account!$F928&lt;&gt;"""", VALUE(REGEXREPLACE($I928, ""\,"", ""."")), """")"),"")</f>
        <v/>
      </c>
      <c r="O928" s="33" t="str">
        <f>IF(Account!$F928&lt;&gt;"", DATEVALUE(MID($A928,4,3) &amp; LEFT($A928,3) &amp; RIGHT($A928,4)) + TIMEVALUE($B928), "")</f>
        <v/>
      </c>
      <c r="P928" s="34" t="str">
        <f>IF(Account!$F928&lt;&gt;"", DATEVALUE(MID($C928,4,3) &amp; LEFT($C928,3) &amp; RIGHT($C928,4)), "")</f>
        <v/>
      </c>
      <c r="Q928" s="35" t="str">
        <f t="array" ref="Q928">IF($R928&lt;&gt;"",IFERROR(INDEX(Investment!$A:$A,MATCH($R928,Investment!$H:$H,0))),)</f>
        <v/>
      </c>
      <c r="R928" s="36" t="str">
        <f t="array" ref="R928">IF(AND($Y928="change",$H928="EUR"),IF(AND($AA928="Crédit",$O928=$O929),$R929,IF(AND($AA928="Débit",$O928=$O927),$R927)),IF(OR(AND(OR($E928&lt;&gt;"",$M928=""),$N928&lt;&gt;0),$A928=""),IFERROR(INDEX(Investment!$H:$H,MATCH($E928,Investment!$F:$F,0))),IFERROR(INDEX($R929:$R1119,MATCH(SUBSTITUTE($I928,"-","",1),$K929:$K1119,0)),INDEX($R929:$R1119,MATCH($K928,$K929:$K1119,0)))))</f>
        <v/>
      </c>
      <c r="S928" s="35" t="str">
        <f t="shared" si="2"/>
        <v/>
      </c>
      <c r="T928" s="37" t="str">
        <f t="shared" si="3"/>
        <v/>
      </c>
      <c r="U928" s="38" t="str">
        <f t="shared" si="4"/>
        <v/>
      </c>
      <c r="V928" s="31" t="str">
        <f t="shared" si="5"/>
        <v/>
      </c>
      <c r="W928" s="39" t="str">
        <f>IFERROR(__xludf.DUMMYFUNCTION(" IF(Account!$F928&lt;&gt;"""", SPLIT(Account!$F928, "" ""), """")"),"")</f>
        <v/>
      </c>
      <c r="X928" s="40"/>
      <c r="Y928" s="40"/>
      <c r="Z928" s="40"/>
      <c r="AA928" s="40"/>
      <c r="AB928" s="40"/>
      <c r="AC928" s="40"/>
      <c r="AD928" s="40"/>
      <c r="AE928" s="40"/>
      <c r="AF928" s="40"/>
      <c r="AG928" s="40"/>
      <c r="AH928" s="40"/>
      <c r="AI928" s="40"/>
      <c r="AJ928" s="40"/>
      <c r="AK928" s="40"/>
    </row>
    <row r="929">
      <c r="A929" s="300"/>
      <c r="B929" s="300"/>
      <c r="C929" s="300"/>
      <c r="D929" s="300"/>
      <c r="E929" s="300"/>
      <c r="F929" s="329"/>
      <c r="G929" s="300"/>
      <c r="H929" s="300"/>
      <c r="I929" s="300"/>
      <c r="J929" s="300"/>
      <c r="K929" s="300"/>
      <c r="L929" s="329"/>
      <c r="M929" s="29" t="str">
        <f t="shared" si="1"/>
        <v/>
      </c>
      <c r="N929" s="31" t="str">
        <f>IFERROR(__xludf.DUMMYFUNCTION("IF(Account!$F929&lt;&gt;"""", VALUE(REGEXREPLACE($I929, ""\,"", ""."")), """")"),"")</f>
        <v/>
      </c>
      <c r="O929" s="33" t="str">
        <f>IF(Account!$F929&lt;&gt;"", DATEVALUE(MID($A929,4,3) &amp; LEFT($A929,3) &amp; RIGHT($A929,4)) + TIMEVALUE($B929), "")</f>
        <v/>
      </c>
      <c r="P929" s="34" t="str">
        <f>IF(Account!$F929&lt;&gt;"", DATEVALUE(MID($C929,4,3) &amp; LEFT($C929,3) &amp; RIGHT($C929,4)), "")</f>
        <v/>
      </c>
      <c r="Q929" s="35" t="str">
        <f t="array" ref="Q929">IF($R929&lt;&gt;"",IFERROR(INDEX(Investment!$A:$A,MATCH($R929,Investment!$H:$H,0))),)</f>
        <v/>
      </c>
      <c r="R929" s="36" t="str">
        <f t="array" ref="R929">IF(AND($Y929="change",$H929="EUR"),IF(AND($AA929="Crédit",$O929=$O930),$R930,IF(AND($AA929="Débit",$O929=$O928),$R928)),IF(OR(AND(OR($E929&lt;&gt;"",$M929=""),$N929&lt;&gt;0),$A929=""),IFERROR(INDEX(Investment!$H:$H,MATCH($E929,Investment!$F:$F,0))),IFERROR(INDEX($R930:$R1119,MATCH(SUBSTITUTE($I929,"-","",1),$K930:$K1119,0)),INDEX($R930:$R1119,MATCH($K929,$K930:$K1119,0)))))</f>
        <v/>
      </c>
      <c r="S929" s="35" t="str">
        <f t="shared" si="2"/>
        <v/>
      </c>
      <c r="T929" s="37" t="str">
        <f t="shared" si="3"/>
        <v/>
      </c>
      <c r="U929" s="38" t="str">
        <f t="shared" si="4"/>
        <v/>
      </c>
      <c r="V929" s="31" t="str">
        <f t="shared" si="5"/>
        <v/>
      </c>
      <c r="W929" s="39" t="str">
        <f>IFERROR(__xludf.DUMMYFUNCTION(" IF(Account!$F929&lt;&gt;"""", SPLIT(Account!$F929, "" ""), """")"),"")</f>
        <v/>
      </c>
      <c r="X929" s="40"/>
      <c r="Y929" s="40"/>
      <c r="Z929" s="40"/>
      <c r="AA929" s="40"/>
      <c r="AB929" s="40"/>
      <c r="AC929" s="40"/>
      <c r="AD929" s="40"/>
      <c r="AE929" s="40"/>
      <c r="AF929" s="40"/>
      <c r="AG929" s="40"/>
      <c r="AH929" s="40"/>
      <c r="AI929" s="40"/>
      <c r="AJ929" s="40"/>
      <c r="AK929" s="40"/>
    </row>
    <row r="930">
      <c r="A930" s="300"/>
      <c r="B930" s="300"/>
      <c r="C930" s="300"/>
      <c r="D930" s="300"/>
      <c r="E930" s="300"/>
      <c r="F930" s="329"/>
      <c r="G930" s="300"/>
      <c r="H930" s="300"/>
      <c r="I930" s="300"/>
      <c r="J930" s="300"/>
      <c r="K930" s="300"/>
      <c r="L930" s="329"/>
      <c r="M930" s="29" t="str">
        <f t="shared" si="1"/>
        <v/>
      </c>
      <c r="N930" s="31" t="str">
        <f>IFERROR(__xludf.DUMMYFUNCTION("IF(Account!$F930&lt;&gt;"""", VALUE(REGEXREPLACE($I930, ""\,"", ""."")), """")"),"")</f>
        <v/>
      </c>
      <c r="O930" s="33" t="str">
        <f>IF(Account!$F930&lt;&gt;"", DATEVALUE(MID($A930,4,3) &amp; LEFT($A930,3) &amp; RIGHT($A930,4)) + TIMEVALUE($B930), "")</f>
        <v/>
      </c>
      <c r="P930" s="34" t="str">
        <f>IF(Account!$F930&lt;&gt;"", DATEVALUE(MID($C930,4,3) &amp; LEFT($C930,3) &amp; RIGHT($C930,4)), "")</f>
        <v/>
      </c>
      <c r="Q930" s="35" t="str">
        <f t="array" ref="Q930">IF($R930&lt;&gt;"",IFERROR(INDEX(Investment!$A:$A,MATCH($R930,Investment!$H:$H,0))),)</f>
        <v/>
      </c>
      <c r="R930" s="36" t="str">
        <f t="array" ref="R930">IF(AND($Y930="change",$H930="EUR"),IF(AND($AA930="Crédit",$O930=$O931),$R931,IF(AND($AA930="Débit",$O930=$O929),$R929)),IF(OR(AND(OR($E930&lt;&gt;"",$M930=""),$N930&lt;&gt;0),$A930=""),IFERROR(INDEX(Investment!$H:$H,MATCH($E930,Investment!$F:$F,0))),IFERROR(INDEX($R931:$R1119,MATCH(SUBSTITUTE($I930,"-","",1),$K931:$K1119,0)),INDEX($R931:$R1119,MATCH($K930,$K931:$K1119,0)))))</f>
        <v/>
      </c>
      <c r="S930" s="35" t="str">
        <f t="shared" si="2"/>
        <v/>
      </c>
      <c r="T930" s="37" t="str">
        <f t="shared" si="3"/>
        <v/>
      </c>
      <c r="U930" s="38" t="str">
        <f t="shared" si="4"/>
        <v/>
      </c>
      <c r="V930" s="31" t="str">
        <f t="shared" si="5"/>
        <v/>
      </c>
      <c r="W930" s="39" t="str">
        <f>IFERROR(__xludf.DUMMYFUNCTION(" IF(Account!$F930&lt;&gt;"""", SPLIT(Account!$F930, "" ""), """")"),"")</f>
        <v/>
      </c>
      <c r="X930" s="40"/>
      <c r="Y930" s="40"/>
      <c r="Z930" s="40"/>
      <c r="AA930" s="40"/>
      <c r="AB930" s="40"/>
      <c r="AC930" s="40"/>
      <c r="AD930" s="40"/>
      <c r="AE930" s="40"/>
      <c r="AF930" s="40"/>
      <c r="AG930" s="40"/>
      <c r="AH930" s="40"/>
      <c r="AI930" s="40"/>
      <c r="AJ930" s="40"/>
      <c r="AK930" s="40"/>
    </row>
    <row r="931">
      <c r="A931" s="300"/>
      <c r="B931" s="300"/>
      <c r="C931" s="300"/>
      <c r="D931" s="300"/>
      <c r="E931" s="300"/>
      <c r="F931" s="329"/>
      <c r="G931" s="300"/>
      <c r="H931" s="300"/>
      <c r="I931" s="300"/>
      <c r="J931" s="300"/>
      <c r="K931" s="300"/>
      <c r="L931" s="329"/>
      <c r="M931" s="29" t="str">
        <f t="shared" si="1"/>
        <v/>
      </c>
      <c r="N931" s="31" t="str">
        <f>IFERROR(__xludf.DUMMYFUNCTION("IF(Account!$F931&lt;&gt;"""", VALUE(REGEXREPLACE($I931, ""\,"", ""."")), """")"),"")</f>
        <v/>
      </c>
      <c r="O931" s="33" t="str">
        <f>IF(Account!$F931&lt;&gt;"", DATEVALUE(MID($A931,4,3) &amp; LEFT($A931,3) &amp; RIGHT($A931,4)) + TIMEVALUE($B931), "")</f>
        <v/>
      </c>
      <c r="P931" s="34" t="str">
        <f>IF(Account!$F931&lt;&gt;"", DATEVALUE(MID($C931,4,3) &amp; LEFT($C931,3) &amp; RIGHT($C931,4)), "")</f>
        <v/>
      </c>
      <c r="Q931" s="35" t="str">
        <f t="array" ref="Q931">IF($R931&lt;&gt;"",IFERROR(INDEX(Investment!$A:$A,MATCH($R931,Investment!$H:$H,0))),)</f>
        <v/>
      </c>
      <c r="R931" s="36" t="str">
        <f t="array" ref="R931">IF(AND($Y931="change",$H931="EUR"),IF(AND($AA931="Crédit",$O931=$O932),$R932,IF(AND($AA931="Débit",$O931=$O930),$R930)),IF(OR(AND(OR($E931&lt;&gt;"",$M931=""),$N931&lt;&gt;0),$A931=""),IFERROR(INDEX(Investment!$H:$H,MATCH($E931,Investment!$F:$F,0))),IFERROR(INDEX($R932:$R1119,MATCH(SUBSTITUTE($I931,"-","",1),$K932:$K1119,0)),INDEX($R932:$R1119,MATCH($K931,$K932:$K1119,0)))))</f>
        <v/>
      </c>
      <c r="S931" s="35" t="str">
        <f t="shared" si="2"/>
        <v/>
      </c>
      <c r="T931" s="37" t="str">
        <f t="shared" si="3"/>
        <v/>
      </c>
      <c r="U931" s="38" t="str">
        <f t="shared" si="4"/>
        <v/>
      </c>
      <c r="V931" s="31" t="str">
        <f t="shared" si="5"/>
        <v/>
      </c>
      <c r="W931" s="39" t="str">
        <f>IFERROR(__xludf.DUMMYFUNCTION(" IF(Account!$F931&lt;&gt;"""", SPLIT(Account!$F931, "" ""), """")"),"")</f>
        <v/>
      </c>
      <c r="X931" s="40"/>
      <c r="Y931" s="40"/>
      <c r="Z931" s="40"/>
      <c r="AA931" s="40"/>
      <c r="AB931" s="40"/>
      <c r="AC931" s="40"/>
      <c r="AD931" s="40"/>
      <c r="AE931" s="40"/>
      <c r="AF931" s="40"/>
      <c r="AG931" s="40"/>
      <c r="AH931" s="40"/>
      <c r="AI931" s="40"/>
      <c r="AJ931" s="40"/>
      <c r="AK931" s="40"/>
    </row>
    <row r="932">
      <c r="A932" s="300"/>
      <c r="B932" s="300"/>
      <c r="C932" s="300"/>
      <c r="D932" s="300"/>
      <c r="E932" s="300"/>
      <c r="F932" s="329"/>
      <c r="G932" s="300"/>
      <c r="H932" s="300"/>
      <c r="I932" s="300"/>
      <c r="J932" s="300"/>
      <c r="K932" s="300"/>
      <c r="L932" s="329"/>
      <c r="M932" s="29" t="str">
        <f t="shared" si="1"/>
        <v/>
      </c>
      <c r="N932" s="31" t="str">
        <f>IFERROR(__xludf.DUMMYFUNCTION("IF(Account!$F932&lt;&gt;"""", VALUE(REGEXREPLACE($I932, ""\,"", ""."")), """")"),"")</f>
        <v/>
      </c>
      <c r="O932" s="33" t="str">
        <f>IF(Account!$F932&lt;&gt;"", DATEVALUE(MID($A932,4,3) &amp; LEFT($A932,3) &amp; RIGHT($A932,4)) + TIMEVALUE($B932), "")</f>
        <v/>
      </c>
      <c r="P932" s="34" t="str">
        <f>IF(Account!$F932&lt;&gt;"", DATEVALUE(MID($C932,4,3) &amp; LEFT($C932,3) &amp; RIGHT($C932,4)), "")</f>
        <v/>
      </c>
      <c r="Q932" s="35" t="str">
        <f t="array" ref="Q932">IF($R932&lt;&gt;"",IFERROR(INDEX(Investment!$A:$A,MATCH($R932,Investment!$H:$H,0))),)</f>
        <v/>
      </c>
      <c r="R932" s="36" t="str">
        <f t="array" ref="R932">IF(AND($Y932="change",$H932="EUR"),IF(AND($AA932="Crédit",$O932=$O933),$R933,IF(AND($AA932="Débit",$O932=$O931),$R931)),IF(OR(AND(OR($E932&lt;&gt;"",$M932=""),$N932&lt;&gt;0),$A932=""),IFERROR(INDEX(Investment!$H:$H,MATCH($E932,Investment!$F:$F,0))),IFERROR(INDEX($R933:$R1119,MATCH(SUBSTITUTE($I932,"-","",1),$K933:$K1119,0)),INDEX($R933:$R1119,MATCH($K932,$K933:$K1119,0)))))</f>
        <v/>
      </c>
      <c r="S932" s="35" t="str">
        <f t="shared" si="2"/>
        <v/>
      </c>
      <c r="T932" s="37" t="str">
        <f t="shared" si="3"/>
        <v/>
      </c>
      <c r="U932" s="38" t="str">
        <f t="shared" si="4"/>
        <v/>
      </c>
      <c r="V932" s="31" t="str">
        <f t="shared" si="5"/>
        <v/>
      </c>
      <c r="W932" s="39" t="str">
        <f>IFERROR(__xludf.DUMMYFUNCTION(" IF(Account!$F932&lt;&gt;"""", SPLIT(Account!$F932, "" ""), """")"),"")</f>
        <v/>
      </c>
      <c r="X932" s="40"/>
      <c r="Y932" s="40"/>
      <c r="Z932" s="40"/>
      <c r="AA932" s="40"/>
      <c r="AB932" s="40"/>
      <c r="AC932" s="40"/>
      <c r="AD932" s="40"/>
      <c r="AE932" s="40"/>
      <c r="AF932" s="40"/>
      <c r="AG932" s="40"/>
      <c r="AH932" s="40"/>
      <c r="AI932" s="40"/>
      <c r="AJ932" s="40"/>
      <c r="AK932" s="40"/>
    </row>
    <row r="933">
      <c r="A933" s="300"/>
      <c r="B933" s="300"/>
      <c r="C933" s="300"/>
      <c r="D933" s="300"/>
      <c r="E933" s="300"/>
      <c r="F933" s="329"/>
      <c r="G933" s="300"/>
      <c r="H933" s="300"/>
      <c r="I933" s="300"/>
      <c r="J933" s="300"/>
      <c r="K933" s="300"/>
      <c r="L933" s="329"/>
      <c r="M933" s="29" t="str">
        <f t="shared" si="1"/>
        <v/>
      </c>
      <c r="N933" s="31" t="str">
        <f>IFERROR(__xludf.DUMMYFUNCTION("IF(Account!$F933&lt;&gt;"""", VALUE(REGEXREPLACE($I933, ""\,"", ""."")), """")"),"")</f>
        <v/>
      </c>
      <c r="O933" s="33" t="str">
        <f>IF(Account!$F933&lt;&gt;"", DATEVALUE(MID($A933,4,3) &amp; LEFT($A933,3) &amp; RIGHT($A933,4)) + TIMEVALUE($B933), "")</f>
        <v/>
      </c>
      <c r="P933" s="34" t="str">
        <f>IF(Account!$F933&lt;&gt;"", DATEVALUE(MID($C933,4,3) &amp; LEFT($C933,3) &amp; RIGHT($C933,4)), "")</f>
        <v/>
      </c>
      <c r="Q933" s="35" t="str">
        <f t="array" ref="Q933">IF($R933&lt;&gt;"",IFERROR(INDEX(Investment!$A:$A,MATCH($R933,Investment!$H:$H,0))),)</f>
        <v/>
      </c>
      <c r="R933" s="36" t="str">
        <f t="array" ref="R933">IF(AND($Y933="change",$H933="EUR"),IF(AND($AA933="Crédit",$O933=$O934),$R934,IF(AND($AA933="Débit",$O933=$O932),$R932)),IF(OR(AND(OR($E933&lt;&gt;"",$M933=""),$N933&lt;&gt;0),$A933=""),IFERROR(INDEX(Investment!$H:$H,MATCH($E933,Investment!$F:$F,0))),IFERROR(INDEX($R934:$R1119,MATCH(SUBSTITUTE($I933,"-","",1),$K934:$K1119,0)),INDEX($R934:$R1119,MATCH($K933,$K934:$K1119,0)))))</f>
        <v/>
      </c>
      <c r="S933" s="35" t="str">
        <f t="shared" si="2"/>
        <v/>
      </c>
      <c r="T933" s="37" t="str">
        <f t="shared" si="3"/>
        <v/>
      </c>
      <c r="U933" s="38" t="str">
        <f t="shared" si="4"/>
        <v/>
      </c>
      <c r="V933" s="31" t="str">
        <f t="shared" si="5"/>
        <v/>
      </c>
      <c r="W933" s="39" t="str">
        <f>IFERROR(__xludf.DUMMYFUNCTION(" IF(Account!$F933&lt;&gt;"""", SPLIT(Account!$F933, "" ""), """")"),"")</f>
        <v/>
      </c>
      <c r="X933" s="40"/>
      <c r="Y933" s="40"/>
      <c r="Z933" s="40"/>
      <c r="AA933" s="40"/>
      <c r="AB933" s="40"/>
      <c r="AC933" s="40"/>
      <c r="AD933" s="40"/>
      <c r="AE933" s="40"/>
      <c r="AF933" s="40"/>
      <c r="AG933" s="40"/>
      <c r="AH933" s="40"/>
      <c r="AI933" s="40"/>
      <c r="AJ933" s="40"/>
      <c r="AK933" s="40"/>
    </row>
    <row r="934">
      <c r="A934" s="300"/>
      <c r="B934" s="300"/>
      <c r="C934" s="300"/>
      <c r="D934" s="300"/>
      <c r="E934" s="300"/>
      <c r="F934" s="329"/>
      <c r="G934" s="300"/>
      <c r="H934" s="300"/>
      <c r="I934" s="300"/>
      <c r="J934" s="300"/>
      <c r="K934" s="300"/>
      <c r="L934" s="329"/>
      <c r="M934" s="29" t="str">
        <f t="shared" si="1"/>
        <v/>
      </c>
      <c r="N934" s="31" t="str">
        <f>IFERROR(__xludf.DUMMYFUNCTION("IF(Account!$F934&lt;&gt;"""", VALUE(REGEXREPLACE($I934, ""\,"", ""."")), """")"),"")</f>
        <v/>
      </c>
      <c r="O934" s="33" t="str">
        <f>IF(Account!$F934&lt;&gt;"", DATEVALUE(MID($A934,4,3) &amp; LEFT($A934,3) &amp; RIGHT($A934,4)) + TIMEVALUE($B934), "")</f>
        <v/>
      </c>
      <c r="P934" s="34" t="str">
        <f>IF(Account!$F934&lt;&gt;"", DATEVALUE(MID($C934,4,3) &amp; LEFT($C934,3) &amp; RIGHT($C934,4)), "")</f>
        <v/>
      </c>
      <c r="Q934" s="35" t="str">
        <f t="array" ref="Q934">IF($R934&lt;&gt;"",IFERROR(INDEX(Investment!$A:$A,MATCH($R934,Investment!$H:$H,0))),)</f>
        <v/>
      </c>
      <c r="R934" s="36" t="str">
        <f t="array" ref="R934">IF(AND($Y934="change",$H934="EUR"),IF(AND($AA934="Crédit",$O934=$O935),$R935,IF(AND($AA934="Débit",$O934=$O933),$R933)),IF(OR(AND(OR($E934&lt;&gt;"",$M934=""),$N934&lt;&gt;0),$A934=""),IFERROR(INDEX(Investment!$H:$H,MATCH($E934,Investment!$F:$F,0))),IFERROR(INDEX($R935:$R1119,MATCH(SUBSTITUTE($I934,"-","",1),$K935:$K1119,0)),INDEX($R935:$R1119,MATCH($K934,$K935:$K1119,0)))))</f>
        <v/>
      </c>
      <c r="S934" s="35" t="str">
        <f t="shared" si="2"/>
        <v/>
      </c>
      <c r="T934" s="37" t="str">
        <f t="shared" si="3"/>
        <v/>
      </c>
      <c r="U934" s="38" t="str">
        <f t="shared" si="4"/>
        <v/>
      </c>
      <c r="V934" s="31" t="str">
        <f t="shared" si="5"/>
        <v/>
      </c>
      <c r="W934" s="39" t="str">
        <f>IFERROR(__xludf.DUMMYFUNCTION(" IF(Account!$F934&lt;&gt;"""", SPLIT(Account!$F934, "" ""), """")"),"")</f>
        <v/>
      </c>
      <c r="X934" s="40"/>
      <c r="Y934" s="40"/>
      <c r="Z934" s="40"/>
      <c r="AA934" s="40"/>
      <c r="AB934" s="40"/>
      <c r="AC934" s="40"/>
      <c r="AD934" s="40"/>
      <c r="AE934" s="40"/>
      <c r="AF934" s="40"/>
      <c r="AG934" s="40"/>
      <c r="AH934" s="40"/>
      <c r="AI934" s="40"/>
      <c r="AJ934" s="40"/>
      <c r="AK934" s="40"/>
    </row>
    <row r="935">
      <c r="A935" s="300"/>
      <c r="B935" s="300"/>
      <c r="C935" s="300"/>
      <c r="D935" s="300"/>
      <c r="E935" s="300"/>
      <c r="F935" s="329"/>
      <c r="G935" s="300"/>
      <c r="H935" s="300"/>
      <c r="I935" s="300"/>
      <c r="J935" s="300"/>
      <c r="K935" s="300"/>
      <c r="L935" s="329"/>
      <c r="M935" s="29" t="str">
        <f t="shared" si="1"/>
        <v/>
      </c>
      <c r="N935" s="31" t="str">
        <f>IFERROR(__xludf.DUMMYFUNCTION("IF(Account!$F935&lt;&gt;"""", VALUE(REGEXREPLACE($I935, ""\,"", ""."")), """")"),"")</f>
        <v/>
      </c>
      <c r="O935" s="33" t="str">
        <f>IF(Account!$F935&lt;&gt;"", DATEVALUE(MID($A935,4,3) &amp; LEFT($A935,3) &amp; RIGHT($A935,4)) + TIMEVALUE($B935), "")</f>
        <v/>
      </c>
      <c r="P935" s="34" t="str">
        <f>IF(Account!$F935&lt;&gt;"", DATEVALUE(MID($C935,4,3) &amp; LEFT($C935,3) &amp; RIGHT($C935,4)), "")</f>
        <v/>
      </c>
      <c r="Q935" s="35" t="str">
        <f t="array" ref="Q935">IF($R935&lt;&gt;"",IFERROR(INDEX(Investment!$A:$A,MATCH($R935,Investment!$H:$H,0))),)</f>
        <v/>
      </c>
      <c r="R935" s="36" t="str">
        <f t="array" ref="R935">IF(AND($Y935="change",$H935="EUR"),IF(AND($AA935="Crédit",$O935=$O936),$R936,IF(AND($AA935="Débit",$O935=$O934),$R934)),IF(OR(AND(OR($E935&lt;&gt;"",$M935=""),$N935&lt;&gt;0),$A935=""),IFERROR(INDEX(Investment!$H:$H,MATCH($E935,Investment!$F:$F,0))),IFERROR(INDEX($R936:$R1119,MATCH(SUBSTITUTE($I935,"-","",1),$K936:$K1119,0)),INDEX($R936:$R1119,MATCH($K935,$K936:$K1119,0)))))</f>
        <v/>
      </c>
      <c r="S935" s="35" t="str">
        <f t="shared" si="2"/>
        <v/>
      </c>
      <c r="T935" s="37" t="str">
        <f t="shared" si="3"/>
        <v/>
      </c>
      <c r="U935" s="38" t="str">
        <f t="shared" si="4"/>
        <v/>
      </c>
      <c r="V935" s="31" t="str">
        <f t="shared" si="5"/>
        <v/>
      </c>
      <c r="W935" s="39" t="str">
        <f>IFERROR(__xludf.DUMMYFUNCTION(" IF(Account!$F935&lt;&gt;"""", SPLIT(Account!$F935, "" ""), """")"),"")</f>
        <v/>
      </c>
      <c r="X935" s="40"/>
      <c r="Y935" s="40"/>
      <c r="Z935" s="40"/>
      <c r="AA935" s="40"/>
      <c r="AB935" s="40"/>
      <c r="AC935" s="40"/>
      <c r="AD935" s="40"/>
      <c r="AE935" s="40"/>
      <c r="AF935" s="40"/>
      <c r="AG935" s="40"/>
      <c r="AH935" s="40"/>
      <c r="AI935" s="40"/>
      <c r="AJ935" s="40"/>
      <c r="AK935" s="40"/>
    </row>
    <row r="936">
      <c r="A936" s="300"/>
      <c r="B936" s="300"/>
      <c r="C936" s="300"/>
      <c r="D936" s="300"/>
      <c r="E936" s="300"/>
      <c r="F936" s="329"/>
      <c r="G936" s="300"/>
      <c r="H936" s="300"/>
      <c r="I936" s="300"/>
      <c r="J936" s="300"/>
      <c r="K936" s="300"/>
      <c r="L936" s="329"/>
      <c r="M936" s="29" t="str">
        <f t="shared" si="1"/>
        <v/>
      </c>
      <c r="N936" s="31" t="str">
        <f>IFERROR(__xludf.DUMMYFUNCTION("IF(Account!$F936&lt;&gt;"""", VALUE(REGEXREPLACE($I936, ""\,"", ""."")), """")"),"")</f>
        <v/>
      </c>
      <c r="O936" s="33" t="str">
        <f>IF(Account!$F936&lt;&gt;"", DATEVALUE(MID($A936,4,3) &amp; LEFT($A936,3) &amp; RIGHT($A936,4)) + TIMEVALUE($B936), "")</f>
        <v/>
      </c>
      <c r="P936" s="34" t="str">
        <f>IF(Account!$F936&lt;&gt;"", DATEVALUE(MID($C936,4,3) &amp; LEFT($C936,3) &amp; RIGHT($C936,4)), "")</f>
        <v/>
      </c>
      <c r="Q936" s="35" t="str">
        <f t="array" ref="Q936">IF($R936&lt;&gt;"",IFERROR(INDEX(Investment!$A:$A,MATCH($R936,Investment!$H:$H,0))),)</f>
        <v/>
      </c>
      <c r="R936" s="36" t="str">
        <f t="array" ref="R936">IF(AND($Y936="change",$H936="EUR"),IF(AND($AA936="Crédit",$O936=$O937),$R937,IF(AND($AA936="Débit",$O936=$O935),$R935)),IF(OR(AND(OR($E936&lt;&gt;"",$M936=""),$N936&lt;&gt;0),$A936=""),IFERROR(INDEX(Investment!$H:$H,MATCH($E936,Investment!$F:$F,0))),IFERROR(INDEX($R937:$R1119,MATCH(SUBSTITUTE($I936,"-","",1),$K937:$K1119,0)),INDEX($R937:$R1119,MATCH($K936,$K937:$K1119,0)))))</f>
        <v/>
      </c>
      <c r="S936" s="35" t="str">
        <f t="shared" si="2"/>
        <v/>
      </c>
      <c r="T936" s="37" t="str">
        <f t="shared" si="3"/>
        <v/>
      </c>
      <c r="U936" s="38" t="str">
        <f t="shared" si="4"/>
        <v/>
      </c>
      <c r="V936" s="31" t="str">
        <f t="shared" si="5"/>
        <v/>
      </c>
      <c r="W936" s="39" t="str">
        <f>IFERROR(__xludf.DUMMYFUNCTION(" IF(Account!$F936&lt;&gt;"""", SPLIT(Account!$F936, "" ""), """")"),"")</f>
        <v/>
      </c>
      <c r="X936" s="40"/>
      <c r="Y936" s="40"/>
      <c r="Z936" s="40"/>
      <c r="AA936" s="40"/>
      <c r="AB936" s="40"/>
      <c r="AC936" s="40"/>
      <c r="AD936" s="40"/>
      <c r="AE936" s="40"/>
      <c r="AF936" s="40"/>
      <c r="AG936" s="40"/>
      <c r="AH936" s="40"/>
      <c r="AI936" s="40"/>
      <c r="AJ936" s="40"/>
      <c r="AK936" s="40"/>
    </row>
    <row r="937">
      <c r="A937" s="300"/>
      <c r="B937" s="300"/>
      <c r="C937" s="300"/>
      <c r="D937" s="300"/>
      <c r="E937" s="300"/>
      <c r="F937" s="329"/>
      <c r="G937" s="300"/>
      <c r="H937" s="300"/>
      <c r="I937" s="300"/>
      <c r="J937" s="300"/>
      <c r="K937" s="300"/>
      <c r="L937" s="329"/>
      <c r="M937" s="29" t="str">
        <f t="shared" si="1"/>
        <v/>
      </c>
      <c r="N937" s="31" t="str">
        <f>IFERROR(__xludf.DUMMYFUNCTION("IF(Account!$F937&lt;&gt;"""", VALUE(REGEXREPLACE($I937, ""\,"", ""."")), """")"),"")</f>
        <v/>
      </c>
      <c r="O937" s="33" t="str">
        <f>IF(Account!$F937&lt;&gt;"", DATEVALUE(MID($A937,4,3) &amp; LEFT($A937,3) &amp; RIGHT($A937,4)) + TIMEVALUE($B937), "")</f>
        <v/>
      </c>
      <c r="P937" s="34" t="str">
        <f>IF(Account!$F937&lt;&gt;"", DATEVALUE(MID($C937,4,3) &amp; LEFT($C937,3) &amp; RIGHT($C937,4)), "")</f>
        <v/>
      </c>
      <c r="Q937" s="35" t="str">
        <f t="array" ref="Q937">IF($R937&lt;&gt;"",IFERROR(INDEX(Investment!$A:$A,MATCH($R937,Investment!$H:$H,0))),)</f>
        <v/>
      </c>
      <c r="R937" s="36" t="str">
        <f t="array" ref="R937">IF(AND($Y937="change",$H937="EUR"),IF(AND($AA937="Crédit",$O937=$O938),$R938,IF(AND($AA937="Débit",$O937=$O936),$R936)),IF(OR(AND(OR($E937&lt;&gt;"",$M937=""),$N937&lt;&gt;0),$A937=""),IFERROR(INDEX(Investment!$H:$H,MATCH($E937,Investment!$F:$F,0))),IFERROR(INDEX($R938:$R1119,MATCH(SUBSTITUTE($I937,"-","",1),$K938:$K1119,0)),INDEX($R938:$R1119,MATCH($K937,$K938:$K1119,0)))))</f>
        <v/>
      </c>
      <c r="S937" s="35" t="str">
        <f t="shared" si="2"/>
        <v/>
      </c>
      <c r="T937" s="37" t="str">
        <f t="shared" si="3"/>
        <v/>
      </c>
      <c r="U937" s="38" t="str">
        <f t="shared" si="4"/>
        <v/>
      </c>
      <c r="V937" s="31" t="str">
        <f t="shared" si="5"/>
        <v/>
      </c>
      <c r="W937" s="39" t="str">
        <f>IFERROR(__xludf.DUMMYFUNCTION(" IF(Account!$F937&lt;&gt;"""", SPLIT(Account!$F937, "" ""), """")"),"")</f>
        <v/>
      </c>
      <c r="X937" s="40"/>
      <c r="Y937" s="40"/>
      <c r="Z937" s="40"/>
      <c r="AA937" s="40"/>
      <c r="AB937" s="40"/>
      <c r="AC937" s="40"/>
      <c r="AD937" s="40"/>
      <c r="AE937" s="40"/>
      <c r="AF937" s="40"/>
      <c r="AG937" s="40"/>
      <c r="AH937" s="40"/>
      <c r="AI937" s="40"/>
      <c r="AJ937" s="40"/>
      <c r="AK937" s="40"/>
    </row>
    <row r="938">
      <c r="A938" s="300"/>
      <c r="B938" s="300"/>
      <c r="C938" s="300"/>
      <c r="D938" s="300"/>
      <c r="E938" s="300"/>
      <c r="F938" s="329"/>
      <c r="G938" s="300"/>
      <c r="H938" s="300"/>
      <c r="I938" s="300"/>
      <c r="J938" s="300"/>
      <c r="K938" s="300"/>
      <c r="L938" s="329"/>
      <c r="M938" s="29" t="str">
        <f t="shared" si="1"/>
        <v/>
      </c>
      <c r="N938" s="31" t="str">
        <f>IFERROR(__xludf.DUMMYFUNCTION("IF(Account!$F938&lt;&gt;"""", VALUE(REGEXREPLACE($I938, ""\,"", ""."")), """")"),"")</f>
        <v/>
      </c>
      <c r="O938" s="33" t="str">
        <f>IF(Account!$F938&lt;&gt;"", DATEVALUE(MID($A938,4,3) &amp; LEFT($A938,3) &amp; RIGHT($A938,4)) + TIMEVALUE($B938), "")</f>
        <v/>
      </c>
      <c r="P938" s="34" t="str">
        <f>IF(Account!$F938&lt;&gt;"", DATEVALUE(MID($C938,4,3) &amp; LEFT($C938,3) &amp; RIGHT($C938,4)), "")</f>
        <v/>
      </c>
      <c r="Q938" s="35" t="str">
        <f t="array" ref="Q938">IF($R938&lt;&gt;"",IFERROR(INDEX(Investment!$A:$A,MATCH($R938,Investment!$H:$H,0))),)</f>
        <v/>
      </c>
      <c r="R938" s="36" t="str">
        <f t="array" ref="R938">IF(AND($Y938="change",$H938="EUR"),IF(AND($AA938="Crédit",$O938=$O939),$R939,IF(AND($AA938="Débit",$O938=$O937),$R937)),IF(OR(AND(OR($E938&lt;&gt;"",$M938=""),$N938&lt;&gt;0),$A938=""),IFERROR(INDEX(Investment!$H:$H,MATCH($E938,Investment!$F:$F,0))),IFERROR(INDEX($R939:$R1119,MATCH(SUBSTITUTE($I938,"-","",1),$K939:$K1119,0)),INDEX($R939:$R1119,MATCH($K938,$K939:$K1119,0)))))</f>
        <v/>
      </c>
      <c r="S938" s="35" t="str">
        <f t="shared" si="2"/>
        <v/>
      </c>
      <c r="T938" s="37" t="str">
        <f t="shared" si="3"/>
        <v/>
      </c>
      <c r="U938" s="38" t="str">
        <f t="shared" si="4"/>
        <v/>
      </c>
      <c r="V938" s="31" t="str">
        <f t="shared" si="5"/>
        <v/>
      </c>
      <c r="W938" s="39" t="str">
        <f>IFERROR(__xludf.DUMMYFUNCTION(" IF(Account!$F938&lt;&gt;"""", SPLIT(Account!$F938, "" ""), """")"),"")</f>
        <v/>
      </c>
      <c r="X938" s="40"/>
      <c r="Y938" s="40"/>
      <c r="Z938" s="40"/>
      <c r="AA938" s="40"/>
      <c r="AB938" s="40"/>
      <c r="AC938" s="40"/>
      <c r="AD938" s="40"/>
      <c r="AE938" s="40"/>
      <c r="AF938" s="40"/>
      <c r="AG938" s="40"/>
      <c r="AH938" s="40"/>
      <c r="AI938" s="40"/>
      <c r="AJ938" s="40"/>
      <c r="AK938" s="40"/>
    </row>
    <row r="939">
      <c r="A939" s="300"/>
      <c r="B939" s="300"/>
      <c r="C939" s="300"/>
      <c r="D939" s="300"/>
      <c r="E939" s="300"/>
      <c r="F939" s="329"/>
      <c r="G939" s="300"/>
      <c r="H939" s="300"/>
      <c r="I939" s="300"/>
      <c r="J939" s="300"/>
      <c r="K939" s="300"/>
      <c r="L939" s="329"/>
      <c r="M939" s="29" t="str">
        <f t="shared" si="1"/>
        <v/>
      </c>
      <c r="N939" s="31" t="str">
        <f>IFERROR(__xludf.DUMMYFUNCTION("IF(Account!$F939&lt;&gt;"""", VALUE(REGEXREPLACE($I939, ""\,"", ""."")), """")"),"")</f>
        <v/>
      </c>
      <c r="O939" s="33" t="str">
        <f>IF(Account!$F939&lt;&gt;"", DATEVALUE(MID($A939,4,3) &amp; LEFT($A939,3) &amp; RIGHT($A939,4)) + TIMEVALUE($B939), "")</f>
        <v/>
      </c>
      <c r="P939" s="34" t="str">
        <f>IF(Account!$F939&lt;&gt;"", DATEVALUE(MID($C939,4,3) &amp; LEFT($C939,3) &amp; RIGHT($C939,4)), "")</f>
        <v/>
      </c>
      <c r="Q939" s="35" t="str">
        <f t="array" ref="Q939">IF($R939&lt;&gt;"",IFERROR(INDEX(Investment!$A:$A,MATCH($R939,Investment!$H:$H,0))),)</f>
        <v/>
      </c>
      <c r="R939" s="36" t="str">
        <f t="array" ref="R939">IF(AND($Y939="change",$H939="EUR"),IF(AND($AA939="Crédit",$O939=$O940),$R940,IF(AND($AA939="Débit",$O939=$O938),$R938)),IF(OR(AND(OR($E939&lt;&gt;"",$M939=""),$N939&lt;&gt;0),$A939=""),IFERROR(INDEX(Investment!$H:$H,MATCH($E939,Investment!$F:$F,0))),IFERROR(INDEX($R940:$R1119,MATCH(SUBSTITUTE($I939,"-","",1),$K940:$K1119,0)),INDEX($R940:$R1119,MATCH($K939,$K940:$K1119,0)))))</f>
        <v/>
      </c>
      <c r="S939" s="35" t="str">
        <f t="shared" si="2"/>
        <v/>
      </c>
      <c r="T939" s="37" t="str">
        <f t="shared" si="3"/>
        <v/>
      </c>
      <c r="U939" s="38" t="str">
        <f t="shared" si="4"/>
        <v/>
      </c>
      <c r="V939" s="31" t="str">
        <f t="shared" si="5"/>
        <v/>
      </c>
      <c r="W939" s="39" t="str">
        <f>IFERROR(__xludf.DUMMYFUNCTION(" IF(Account!$F939&lt;&gt;"""", SPLIT(Account!$F939, "" ""), """")"),"")</f>
        <v/>
      </c>
      <c r="X939" s="40"/>
      <c r="Y939" s="40"/>
      <c r="Z939" s="40"/>
      <c r="AA939" s="40"/>
      <c r="AB939" s="40"/>
      <c r="AC939" s="40"/>
      <c r="AD939" s="40"/>
      <c r="AE939" s="40"/>
      <c r="AF939" s="40"/>
      <c r="AG939" s="40"/>
      <c r="AH939" s="40"/>
      <c r="AI939" s="40"/>
      <c r="AJ939" s="40"/>
      <c r="AK939" s="40"/>
    </row>
    <row r="940">
      <c r="A940" s="300"/>
      <c r="B940" s="300"/>
      <c r="C940" s="300"/>
      <c r="D940" s="300"/>
      <c r="E940" s="300"/>
      <c r="F940" s="329"/>
      <c r="G940" s="300"/>
      <c r="H940" s="300"/>
      <c r="I940" s="300"/>
      <c r="J940" s="300"/>
      <c r="K940" s="300"/>
      <c r="L940" s="329"/>
      <c r="M940" s="29" t="str">
        <f t="shared" si="1"/>
        <v/>
      </c>
      <c r="N940" s="31" t="str">
        <f>IFERROR(__xludf.DUMMYFUNCTION("IF(Account!$F940&lt;&gt;"""", VALUE(REGEXREPLACE($I940, ""\,"", ""."")), """")"),"")</f>
        <v/>
      </c>
      <c r="O940" s="33" t="str">
        <f>IF(Account!$F940&lt;&gt;"", DATEVALUE(MID($A940,4,3) &amp; LEFT($A940,3) &amp; RIGHT($A940,4)) + TIMEVALUE($B940), "")</f>
        <v/>
      </c>
      <c r="P940" s="34" t="str">
        <f>IF(Account!$F940&lt;&gt;"", DATEVALUE(MID($C940,4,3) &amp; LEFT($C940,3) &amp; RIGHT($C940,4)), "")</f>
        <v/>
      </c>
      <c r="Q940" s="35" t="str">
        <f t="array" ref="Q940">IF($R940&lt;&gt;"",IFERROR(INDEX(Investment!$A:$A,MATCH($R940,Investment!$H:$H,0))),)</f>
        <v/>
      </c>
      <c r="R940" s="36" t="str">
        <f t="array" ref="R940">IF(AND($Y940="change",$H940="EUR"),IF(AND($AA940="Crédit",$O940=$O941),$R941,IF(AND($AA940="Débit",$O940=$O939),$R939)),IF(OR(AND(OR($E940&lt;&gt;"",$M940=""),$N940&lt;&gt;0),$A940=""),IFERROR(INDEX(Investment!$H:$H,MATCH($E940,Investment!$F:$F,0))),IFERROR(INDEX($R941:$R1119,MATCH(SUBSTITUTE($I940,"-","",1),$K941:$K1119,0)),INDEX($R941:$R1119,MATCH($K940,$K941:$K1119,0)))))</f>
        <v/>
      </c>
      <c r="S940" s="35" t="str">
        <f t="shared" si="2"/>
        <v/>
      </c>
      <c r="T940" s="37" t="str">
        <f t="shared" si="3"/>
        <v/>
      </c>
      <c r="U940" s="38" t="str">
        <f t="shared" si="4"/>
        <v/>
      </c>
      <c r="V940" s="31" t="str">
        <f t="shared" si="5"/>
        <v/>
      </c>
      <c r="W940" s="39" t="str">
        <f>IFERROR(__xludf.DUMMYFUNCTION(" IF(Account!$F940&lt;&gt;"""", SPLIT(Account!$F940, "" ""), """")"),"")</f>
        <v/>
      </c>
      <c r="X940" s="40"/>
      <c r="Y940" s="40"/>
      <c r="Z940" s="40"/>
      <c r="AA940" s="40"/>
      <c r="AB940" s="40"/>
      <c r="AC940" s="40"/>
      <c r="AD940" s="40"/>
      <c r="AE940" s="40"/>
      <c r="AF940" s="40"/>
      <c r="AG940" s="40"/>
      <c r="AH940" s="40"/>
      <c r="AI940" s="40"/>
      <c r="AJ940" s="40"/>
      <c r="AK940" s="40"/>
    </row>
    <row r="941">
      <c r="A941" s="300"/>
      <c r="B941" s="300"/>
      <c r="C941" s="300"/>
      <c r="D941" s="300"/>
      <c r="E941" s="300"/>
      <c r="F941" s="329"/>
      <c r="G941" s="300"/>
      <c r="H941" s="300"/>
      <c r="I941" s="300"/>
      <c r="J941" s="300"/>
      <c r="K941" s="300"/>
      <c r="L941" s="329"/>
      <c r="M941" s="29" t="str">
        <f t="shared" si="1"/>
        <v/>
      </c>
      <c r="N941" s="31" t="str">
        <f>IFERROR(__xludf.DUMMYFUNCTION("IF(Account!$F941&lt;&gt;"""", VALUE(REGEXREPLACE($I941, ""\,"", ""."")), """")"),"")</f>
        <v/>
      </c>
      <c r="O941" s="33" t="str">
        <f>IF(Account!$F941&lt;&gt;"", DATEVALUE(MID($A941,4,3) &amp; LEFT($A941,3) &amp; RIGHT($A941,4)) + TIMEVALUE($B941), "")</f>
        <v/>
      </c>
      <c r="P941" s="34" t="str">
        <f>IF(Account!$F941&lt;&gt;"", DATEVALUE(MID($C941,4,3) &amp; LEFT($C941,3) &amp; RIGHT($C941,4)), "")</f>
        <v/>
      </c>
      <c r="Q941" s="35" t="str">
        <f t="array" ref="Q941">IF($R941&lt;&gt;"",IFERROR(INDEX(Investment!$A:$A,MATCH($R941,Investment!$H:$H,0))),)</f>
        <v/>
      </c>
      <c r="R941" s="36" t="str">
        <f t="array" ref="R941">IF(AND($Y941="change",$H941="EUR"),IF(AND($AA941="Crédit",$O941=$O942),$R942,IF(AND($AA941="Débit",$O941=$O940),$R940)),IF(OR(AND(OR($E941&lt;&gt;"",$M941=""),$N941&lt;&gt;0),$A941=""),IFERROR(INDEX(Investment!$H:$H,MATCH($E941,Investment!$F:$F,0))),IFERROR(INDEX($R942:$R1119,MATCH(SUBSTITUTE($I941,"-","",1),$K942:$K1119,0)),INDEX($R942:$R1119,MATCH($K941,$K942:$K1119,0)))))</f>
        <v/>
      </c>
      <c r="S941" s="35" t="str">
        <f t="shared" si="2"/>
        <v/>
      </c>
      <c r="T941" s="37" t="str">
        <f t="shared" si="3"/>
        <v/>
      </c>
      <c r="U941" s="38" t="str">
        <f t="shared" si="4"/>
        <v/>
      </c>
      <c r="V941" s="31" t="str">
        <f t="shared" si="5"/>
        <v/>
      </c>
      <c r="W941" s="39" t="str">
        <f>IFERROR(__xludf.DUMMYFUNCTION(" IF(Account!$F941&lt;&gt;"""", SPLIT(Account!$F941, "" ""), """")"),"")</f>
        <v/>
      </c>
      <c r="X941" s="40"/>
      <c r="Y941" s="40"/>
      <c r="Z941" s="40"/>
      <c r="AA941" s="40"/>
      <c r="AB941" s="40"/>
      <c r="AC941" s="40"/>
      <c r="AD941" s="40"/>
      <c r="AE941" s="40"/>
      <c r="AF941" s="40"/>
      <c r="AG941" s="40"/>
      <c r="AH941" s="40"/>
      <c r="AI941" s="40"/>
      <c r="AJ941" s="40"/>
      <c r="AK941" s="40"/>
    </row>
    <row r="942">
      <c r="A942" s="300"/>
      <c r="B942" s="300"/>
      <c r="C942" s="300"/>
      <c r="D942" s="300"/>
      <c r="E942" s="300"/>
      <c r="F942" s="329"/>
      <c r="G942" s="300"/>
      <c r="H942" s="300"/>
      <c r="I942" s="300"/>
      <c r="J942" s="300"/>
      <c r="K942" s="300"/>
      <c r="L942" s="329"/>
      <c r="M942" s="29" t="str">
        <f t="shared" si="1"/>
        <v/>
      </c>
      <c r="N942" s="31" t="str">
        <f>IFERROR(__xludf.DUMMYFUNCTION("IF(Account!$F942&lt;&gt;"""", VALUE(REGEXREPLACE($I942, ""\,"", ""."")), """")"),"")</f>
        <v/>
      </c>
      <c r="O942" s="33" t="str">
        <f>IF(Account!$F942&lt;&gt;"", DATEVALUE(MID($A942,4,3) &amp; LEFT($A942,3) &amp; RIGHT($A942,4)) + TIMEVALUE($B942), "")</f>
        <v/>
      </c>
      <c r="P942" s="34" t="str">
        <f>IF(Account!$F942&lt;&gt;"", DATEVALUE(MID($C942,4,3) &amp; LEFT($C942,3) &amp; RIGHT($C942,4)), "")</f>
        <v/>
      </c>
      <c r="Q942" s="35" t="str">
        <f t="array" ref="Q942">IF($R942&lt;&gt;"",IFERROR(INDEX(Investment!$A:$A,MATCH($R942,Investment!$H:$H,0))),)</f>
        <v/>
      </c>
      <c r="R942" s="36" t="str">
        <f t="array" ref="R942">IF(AND($Y942="change",$H942="EUR"),IF(AND($AA942="Crédit",$O942=$O943),$R943,IF(AND($AA942="Débit",$O942=$O941),$R941)),IF(OR(AND(OR($E942&lt;&gt;"",$M942=""),$N942&lt;&gt;0),$A942=""),IFERROR(INDEX(Investment!$H:$H,MATCH($E942,Investment!$F:$F,0))),IFERROR(INDEX($R943:$R1119,MATCH(SUBSTITUTE($I942,"-","",1),$K943:$K1119,0)),INDEX($R943:$R1119,MATCH($K942,$K943:$K1119,0)))))</f>
        <v/>
      </c>
      <c r="S942" s="35" t="str">
        <f t="shared" si="2"/>
        <v/>
      </c>
      <c r="T942" s="37" t="str">
        <f t="shared" si="3"/>
        <v/>
      </c>
      <c r="U942" s="38" t="str">
        <f t="shared" si="4"/>
        <v/>
      </c>
      <c r="V942" s="31" t="str">
        <f t="shared" si="5"/>
        <v/>
      </c>
      <c r="W942" s="39" t="str">
        <f>IFERROR(__xludf.DUMMYFUNCTION(" IF(Account!$F942&lt;&gt;"""", SPLIT(Account!$F942, "" ""), """")"),"")</f>
        <v/>
      </c>
      <c r="X942" s="40"/>
      <c r="Y942" s="40"/>
      <c r="Z942" s="40"/>
      <c r="AA942" s="40"/>
      <c r="AB942" s="40"/>
      <c r="AC942" s="40"/>
      <c r="AD942" s="40"/>
      <c r="AE942" s="40"/>
      <c r="AF942" s="40"/>
      <c r="AG942" s="40"/>
      <c r="AH942" s="40"/>
      <c r="AI942" s="40"/>
      <c r="AJ942" s="40"/>
      <c r="AK942" s="40"/>
    </row>
    <row r="943">
      <c r="A943" s="300"/>
      <c r="B943" s="300"/>
      <c r="C943" s="300"/>
      <c r="D943" s="300"/>
      <c r="E943" s="300"/>
      <c r="F943" s="329"/>
      <c r="G943" s="300"/>
      <c r="H943" s="300"/>
      <c r="I943" s="300"/>
      <c r="J943" s="300"/>
      <c r="K943" s="300"/>
      <c r="L943" s="329"/>
      <c r="M943" s="29" t="str">
        <f t="shared" si="1"/>
        <v/>
      </c>
      <c r="N943" s="31" t="str">
        <f>IFERROR(__xludf.DUMMYFUNCTION("IF(Account!$F943&lt;&gt;"""", VALUE(REGEXREPLACE($I943, ""\,"", ""."")), """")"),"")</f>
        <v/>
      </c>
      <c r="O943" s="33" t="str">
        <f>IF(Account!$F943&lt;&gt;"", DATEVALUE(MID($A943,4,3) &amp; LEFT($A943,3) &amp; RIGHT($A943,4)) + TIMEVALUE($B943), "")</f>
        <v/>
      </c>
      <c r="P943" s="34" t="str">
        <f>IF(Account!$F943&lt;&gt;"", DATEVALUE(MID($C943,4,3) &amp; LEFT($C943,3) &amp; RIGHT($C943,4)), "")</f>
        <v/>
      </c>
      <c r="Q943" s="35" t="str">
        <f t="array" ref="Q943">IF($R943&lt;&gt;"",IFERROR(INDEX(Investment!$A:$A,MATCH($R943,Investment!$H:$H,0))),)</f>
        <v/>
      </c>
      <c r="R943" s="36" t="str">
        <f t="array" ref="R943">IF(AND($Y943="change",$H943="EUR"),IF(AND($AA943="Crédit",$O943=$O944),$R944,IF(AND($AA943="Débit",$O943=$O942),$R942)),IF(OR(AND(OR($E943&lt;&gt;"",$M943=""),$N943&lt;&gt;0),$A943=""),IFERROR(INDEX(Investment!$H:$H,MATCH($E943,Investment!$F:$F,0))),IFERROR(INDEX($R944:$R1119,MATCH(SUBSTITUTE($I943,"-","",1),$K944:$K1119,0)),INDEX($R944:$R1119,MATCH($K943,$K944:$K1119,0)))))</f>
        <v/>
      </c>
      <c r="S943" s="35" t="str">
        <f t="shared" si="2"/>
        <v/>
      </c>
      <c r="T943" s="37" t="str">
        <f t="shared" si="3"/>
        <v/>
      </c>
      <c r="U943" s="38" t="str">
        <f t="shared" si="4"/>
        <v/>
      </c>
      <c r="V943" s="31" t="str">
        <f t="shared" si="5"/>
        <v/>
      </c>
      <c r="W943" s="39" t="str">
        <f>IFERROR(__xludf.DUMMYFUNCTION(" IF(Account!$F943&lt;&gt;"""", SPLIT(Account!$F943, "" ""), """")"),"")</f>
        <v/>
      </c>
      <c r="X943" s="40"/>
      <c r="Y943" s="40"/>
      <c r="Z943" s="40"/>
      <c r="AA943" s="40"/>
      <c r="AB943" s="40"/>
      <c r="AC943" s="40"/>
      <c r="AD943" s="40"/>
      <c r="AE943" s="40"/>
      <c r="AF943" s="40"/>
      <c r="AG943" s="40"/>
      <c r="AH943" s="40"/>
      <c r="AI943" s="40"/>
      <c r="AJ943" s="40"/>
      <c r="AK943" s="40"/>
    </row>
    <row r="944">
      <c r="A944" s="300"/>
      <c r="B944" s="300"/>
      <c r="C944" s="300"/>
      <c r="D944" s="300"/>
      <c r="E944" s="300"/>
      <c r="F944" s="329"/>
      <c r="G944" s="300"/>
      <c r="H944" s="300"/>
      <c r="I944" s="300"/>
      <c r="J944" s="300"/>
      <c r="K944" s="300"/>
      <c r="L944" s="329"/>
      <c r="M944" s="29" t="str">
        <f t="shared" si="1"/>
        <v/>
      </c>
      <c r="N944" s="31" t="str">
        <f>IFERROR(__xludf.DUMMYFUNCTION("IF(Account!$F944&lt;&gt;"""", VALUE(REGEXREPLACE($I944, ""\,"", ""."")), """")"),"")</f>
        <v/>
      </c>
      <c r="O944" s="33" t="str">
        <f>IF(Account!$F944&lt;&gt;"", DATEVALUE(MID($A944,4,3) &amp; LEFT($A944,3) &amp; RIGHT($A944,4)) + TIMEVALUE($B944), "")</f>
        <v/>
      </c>
      <c r="P944" s="34" t="str">
        <f>IF(Account!$F944&lt;&gt;"", DATEVALUE(MID($C944,4,3) &amp; LEFT($C944,3) &amp; RIGHT($C944,4)), "")</f>
        <v/>
      </c>
      <c r="Q944" s="35" t="str">
        <f t="array" ref="Q944">IF($R944&lt;&gt;"",IFERROR(INDEX(Investment!$A:$A,MATCH($R944,Investment!$H:$H,0))),)</f>
        <v/>
      </c>
      <c r="R944" s="36" t="str">
        <f t="array" ref="R944">IF(AND($Y944="change",$H944="EUR"),IF(AND($AA944="Crédit",$O944=$O945),$R945,IF(AND($AA944="Débit",$O944=$O943),$R943)),IF(OR(AND(OR($E944&lt;&gt;"",$M944=""),$N944&lt;&gt;0),$A944=""),IFERROR(INDEX(Investment!$H:$H,MATCH($E944,Investment!$F:$F,0))),IFERROR(INDEX($R945:$R1119,MATCH(SUBSTITUTE($I944,"-","",1),$K945:$K1119,0)),INDEX($R945:$R1119,MATCH($K944,$K945:$K1119,0)))))</f>
        <v/>
      </c>
      <c r="S944" s="35" t="str">
        <f t="shared" si="2"/>
        <v/>
      </c>
      <c r="T944" s="37" t="str">
        <f t="shared" si="3"/>
        <v/>
      </c>
      <c r="U944" s="38" t="str">
        <f t="shared" si="4"/>
        <v/>
      </c>
      <c r="V944" s="31" t="str">
        <f t="shared" si="5"/>
        <v/>
      </c>
      <c r="W944" s="39" t="str">
        <f>IFERROR(__xludf.DUMMYFUNCTION(" IF(Account!$F944&lt;&gt;"""", SPLIT(Account!$F944, "" ""), """")"),"")</f>
        <v/>
      </c>
      <c r="X944" s="40"/>
      <c r="Y944" s="40"/>
      <c r="Z944" s="40"/>
      <c r="AA944" s="40"/>
      <c r="AB944" s="40"/>
      <c r="AC944" s="40"/>
      <c r="AD944" s="40"/>
      <c r="AE944" s="40"/>
      <c r="AF944" s="40"/>
      <c r="AG944" s="40"/>
      <c r="AH944" s="40"/>
      <c r="AI944" s="40"/>
      <c r="AJ944" s="40"/>
      <c r="AK944" s="40"/>
    </row>
    <row r="945">
      <c r="A945" s="300"/>
      <c r="B945" s="300"/>
      <c r="C945" s="300"/>
      <c r="D945" s="300"/>
      <c r="E945" s="300"/>
      <c r="F945" s="329"/>
      <c r="G945" s="300"/>
      <c r="H945" s="300"/>
      <c r="I945" s="300"/>
      <c r="J945" s="300"/>
      <c r="K945" s="300"/>
      <c r="L945" s="329"/>
      <c r="M945" s="29" t="str">
        <f t="shared" si="1"/>
        <v/>
      </c>
      <c r="N945" s="31" t="str">
        <f>IFERROR(__xludf.DUMMYFUNCTION("IF(Account!$F945&lt;&gt;"""", VALUE(REGEXREPLACE($I945, ""\,"", ""."")), """")"),"")</f>
        <v/>
      </c>
      <c r="O945" s="33" t="str">
        <f>IF(Account!$F945&lt;&gt;"", DATEVALUE(MID($A945,4,3) &amp; LEFT($A945,3) &amp; RIGHT($A945,4)) + TIMEVALUE($B945), "")</f>
        <v/>
      </c>
      <c r="P945" s="34" t="str">
        <f>IF(Account!$F945&lt;&gt;"", DATEVALUE(MID($C945,4,3) &amp; LEFT($C945,3) &amp; RIGHT($C945,4)), "")</f>
        <v/>
      </c>
      <c r="Q945" s="35" t="str">
        <f t="array" ref="Q945">IF($R945&lt;&gt;"",IFERROR(INDEX(Investment!$A:$A,MATCH($R945,Investment!$H:$H,0))),)</f>
        <v/>
      </c>
      <c r="R945" s="36" t="str">
        <f t="array" ref="R945">IF(AND($Y945="change",$H945="EUR"),IF(AND($AA945="Crédit",$O945=$O946),$R946,IF(AND($AA945="Débit",$O945=$O944),$R944)),IF(OR(AND(OR($E945&lt;&gt;"",$M945=""),$N945&lt;&gt;0),$A945=""),IFERROR(INDEX(Investment!$H:$H,MATCH($E945,Investment!$F:$F,0))),IFERROR(INDEX($R946:$R1119,MATCH(SUBSTITUTE($I945,"-","",1),$K946:$K1119,0)),INDEX($R946:$R1119,MATCH($K945,$K946:$K1119,0)))))</f>
        <v/>
      </c>
      <c r="S945" s="35" t="str">
        <f t="shared" si="2"/>
        <v/>
      </c>
      <c r="T945" s="37" t="str">
        <f t="shared" si="3"/>
        <v/>
      </c>
      <c r="U945" s="38" t="str">
        <f t="shared" si="4"/>
        <v/>
      </c>
      <c r="V945" s="31" t="str">
        <f t="shared" si="5"/>
        <v/>
      </c>
      <c r="W945" s="39" t="str">
        <f>IFERROR(__xludf.DUMMYFUNCTION(" IF(Account!$F945&lt;&gt;"""", SPLIT(Account!$F945, "" ""), """")"),"")</f>
        <v/>
      </c>
      <c r="X945" s="40"/>
      <c r="Y945" s="40"/>
      <c r="Z945" s="40"/>
      <c r="AA945" s="40"/>
      <c r="AB945" s="40"/>
      <c r="AC945" s="40"/>
      <c r="AD945" s="40"/>
      <c r="AE945" s="40"/>
      <c r="AF945" s="40"/>
      <c r="AG945" s="40"/>
      <c r="AH945" s="40"/>
      <c r="AI945" s="40"/>
      <c r="AJ945" s="40"/>
      <c r="AK945" s="40"/>
    </row>
    <row r="946">
      <c r="A946" s="300"/>
      <c r="B946" s="300"/>
      <c r="C946" s="300"/>
      <c r="D946" s="300"/>
      <c r="E946" s="300"/>
      <c r="F946" s="329"/>
      <c r="G946" s="300"/>
      <c r="H946" s="300"/>
      <c r="I946" s="300"/>
      <c r="J946" s="300"/>
      <c r="K946" s="300"/>
      <c r="L946" s="329"/>
      <c r="M946" s="29" t="str">
        <f t="shared" si="1"/>
        <v/>
      </c>
      <c r="N946" s="31" t="str">
        <f>IFERROR(__xludf.DUMMYFUNCTION("IF(Account!$F946&lt;&gt;"""", VALUE(REGEXREPLACE($I946, ""\,"", ""."")), """")"),"")</f>
        <v/>
      </c>
      <c r="O946" s="33" t="str">
        <f>IF(Account!$F946&lt;&gt;"", DATEVALUE(MID($A946,4,3) &amp; LEFT($A946,3) &amp; RIGHT($A946,4)) + TIMEVALUE($B946), "")</f>
        <v/>
      </c>
      <c r="P946" s="34" t="str">
        <f>IF(Account!$F946&lt;&gt;"", DATEVALUE(MID($C946,4,3) &amp; LEFT($C946,3) &amp; RIGHT($C946,4)), "")</f>
        <v/>
      </c>
      <c r="Q946" s="35" t="str">
        <f t="array" ref="Q946">IF($R946&lt;&gt;"",IFERROR(INDEX(Investment!$A:$A,MATCH($R946,Investment!$H:$H,0))),)</f>
        <v/>
      </c>
      <c r="R946" s="36" t="str">
        <f t="array" ref="R946">IF(AND($Y946="change",$H946="EUR"),IF(AND($AA946="Crédit",$O946=$O947),$R947,IF(AND($AA946="Débit",$O946=$O945),$R945)),IF(OR(AND(OR($E946&lt;&gt;"",$M946=""),$N946&lt;&gt;0),$A946=""),IFERROR(INDEX(Investment!$H:$H,MATCH($E946,Investment!$F:$F,0))),IFERROR(INDEX($R947:$R1119,MATCH(SUBSTITUTE($I946,"-","",1),$K947:$K1119,0)),INDEX($R947:$R1119,MATCH($K946,$K947:$K1119,0)))))</f>
        <v/>
      </c>
      <c r="S946" s="35" t="str">
        <f t="shared" si="2"/>
        <v/>
      </c>
      <c r="T946" s="37" t="str">
        <f t="shared" si="3"/>
        <v/>
      </c>
      <c r="U946" s="38" t="str">
        <f t="shared" si="4"/>
        <v/>
      </c>
      <c r="V946" s="31" t="str">
        <f t="shared" si="5"/>
        <v/>
      </c>
      <c r="W946" s="39" t="str">
        <f>IFERROR(__xludf.DUMMYFUNCTION(" IF(Account!$F946&lt;&gt;"""", SPLIT(Account!$F946, "" ""), """")"),"")</f>
        <v/>
      </c>
      <c r="X946" s="40"/>
      <c r="Y946" s="40"/>
      <c r="Z946" s="40"/>
      <c r="AA946" s="40"/>
      <c r="AB946" s="40"/>
      <c r="AC946" s="40"/>
      <c r="AD946" s="40"/>
      <c r="AE946" s="40"/>
      <c r="AF946" s="40"/>
      <c r="AG946" s="40"/>
      <c r="AH946" s="40"/>
      <c r="AI946" s="40"/>
      <c r="AJ946" s="40"/>
      <c r="AK946" s="40"/>
    </row>
    <row r="947">
      <c r="A947" s="300"/>
      <c r="B947" s="300"/>
      <c r="C947" s="300"/>
      <c r="D947" s="300"/>
      <c r="E947" s="300"/>
      <c r="F947" s="329"/>
      <c r="G947" s="300"/>
      <c r="H947" s="300"/>
      <c r="I947" s="300"/>
      <c r="J947" s="300"/>
      <c r="K947" s="300"/>
      <c r="L947" s="329"/>
      <c r="M947" s="29" t="str">
        <f t="shared" si="1"/>
        <v/>
      </c>
      <c r="N947" s="31" t="str">
        <f>IFERROR(__xludf.DUMMYFUNCTION("IF(Account!$F947&lt;&gt;"""", VALUE(REGEXREPLACE($I947, ""\,"", ""."")), """")"),"")</f>
        <v/>
      </c>
      <c r="O947" s="33" t="str">
        <f>IF(Account!$F947&lt;&gt;"", DATEVALUE(MID($A947,4,3) &amp; LEFT($A947,3) &amp; RIGHT($A947,4)) + TIMEVALUE($B947), "")</f>
        <v/>
      </c>
      <c r="P947" s="34" t="str">
        <f>IF(Account!$F947&lt;&gt;"", DATEVALUE(MID($C947,4,3) &amp; LEFT($C947,3) &amp; RIGHT($C947,4)), "")</f>
        <v/>
      </c>
      <c r="Q947" s="35" t="str">
        <f t="array" ref="Q947">IF($R947&lt;&gt;"",IFERROR(INDEX(Investment!$A:$A,MATCH($R947,Investment!$H:$H,0))),)</f>
        <v/>
      </c>
      <c r="R947" s="36" t="str">
        <f t="array" ref="R947">IF(AND($Y947="change",$H947="EUR"),IF(AND($AA947="Crédit",$O947=$O948),$R948,IF(AND($AA947="Débit",$O947=$O946),$R946)),IF(OR(AND(OR($E947&lt;&gt;"",$M947=""),$N947&lt;&gt;0),$A947=""),IFERROR(INDEX(Investment!$H:$H,MATCH($E947,Investment!$F:$F,0))),IFERROR(INDEX($R948:$R1119,MATCH(SUBSTITUTE($I947,"-","",1),$K948:$K1119,0)),INDEX($R948:$R1119,MATCH($K947,$K948:$K1119,0)))))</f>
        <v/>
      </c>
      <c r="S947" s="35" t="str">
        <f t="shared" si="2"/>
        <v/>
      </c>
      <c r="T947" s="37" t="str">
        <f t="shared" si="3"/>
        <v/>
      </c>
      <c r="U947" s="38" t="str">
        <f t="shared" si="4"/>
        <v/>
      </c>
      <c r="V947" s="31" t="str">
        <f t="shared" si="5"/>
        <v/>
      </c>
      <c r="W947" s="39" t="str">
        <f>IFERROR(__xludf.DUMMYFUNCTION(" IF(Account!$F947&lt;&gt;"""", SPLIT(Account!$F947, "" ""), """")"),"")</f>
        <v/>
      </c>
      <c r="X947" s="40"/>
      <c r="Y947" s="40"/>
      <c r="Z947" s="40"/>
      <c r="AA947" s="40"/>
      <c r="AB947" s="40"/>
      <c r="AC947" s="40"/>
      <c r="AD947" s="40"/>
      <c r="AE947" s="40"/>
      <c r="AF947" s="40"/>
      <c r="AG947" s="40"/>
      <c r="AH947" s="40"/>
      <c r="AI947" s="40"/>
      <c r="AJ947" s="40"/>
      <c r="AK947" s="40"/>
    </row>
    <row r="948">
      <c r="A948" s="300"/>
      <c r="B948" s="300"/>
      <c r="C948" s="300"/>
      <c r="D948" s="300"/>
      <c r="E948" s="300"/>
      <c r="F948" s="329"/>
      <c r="G948" s="300"/>
      <c r="H948" s="300"/>
      <c r="I948" s="300"/>
      <c r="J948" s="300"/>
      <c r="K948" s="300"/>
      <c r="L948" s="329"/>
      <c r="M948" s="29" t="str">
        <f t="shared" si="1"/>
        <v/>
      </c>
      <c r="N948" s="31" t="str">
        <f>IFERROR(__xludf.DUMMYFUNCTION("IF(Account!$F948&lt;&gt;"""", VALUE(REGEXREPLACE($I948, ""\,"", ""."")), """")"),"")</f>
        <v/>
      </c>
      <c r="O948" s="33" t="str">
        <f>IF(Account!$F948&lt;&gt;"", DATEVALUE(MID($A948,4,3) &amp; LEFT($A948,3) &amp; RIGHT($A948,4)) + TIMEVALUE($B948), "")</f>
        <v/>
      </c>
      <c r="P948" s="34" t="str">
        <f>IF(Account!$F948&lt;&gt;"", DATEVALUE(MID($C948,4,3) &amp; LEFT($C948,3) &amp; RIGHT($C948,4)), "")</f>
        <v/>
      </c>
      <c r="Q948" s="35" t="str">
        <f t="array" ref="Q948">IF($R948&lt;&gt;"",IFERROR(INDEX(Investment!$A:$A,MATCH($R948,Investment!$H:$H,0))),)</f>
        <v/>
      </c>
      <c r="R948" s="36" t="str">
        <f t="array" ref="R948">IF(AND($Y948="change",$H948="EUR"),IF(AND($AA948="Crédit",$O948=$O949),$R949,IF(AND($AA948="Débit",$O948=$O947),$R947)),IF(OR(AND(OR($E948&lt;&gt;"",$M948=""),$N948&lt;&gt;0),$A948=""),IFERROR(INDEX(Investment!$H:$H,MATCH($E948,Investment!$F:$F,0))),IFERROR(INDEX($R949:$R1119,MATCH(SUBSTITUTE($I948,"-","",1),$K949:$K1119,0)),INDEX($R949:$R1119,MATCH($K948,$K949:$K1119,0)))))</f>
        <v/>
      </c>
      <c r="S948" s="35" t="str">
        <f t="shared" si="2"/>
        <v/>
      </c>
      <c r="T948" s="37" t="str">
        <f t="shared" si="3"/>
        <v/>
      </c>
      <c r="U948" s="38" t="str">
        <f t="shared" si="4"/>
        <v/>
      </c>
      <c r="V948" s="31" t="str">
        <f t="shared" si="5"/>
        <v/>
      </c>
      <c r="W948" s="39" t="str">
        <f>IFERROR(__xludf.DUMMYFUNCTION(" IF(Account!$F948&lt;&gt;"""", SPLIT(Account!$F948, "" ""), """")"),"")</f>
        <v/>
      </c>
      <c r="X948" s="40"/>
      <c r="Y948" s="40"/>
      <c r="Z948" s="40"/>
      <c r="AA948" s="40"/>
      <c r="AB948" s="40"/>
      <c r="AC948" s="40"/>
      <c r="AD948" s="40"/>
      <c r="AE948" s="40"/>
      <c r="AF948" s="40"/>
      <c r="AG948" s="40"/>
      <c r="AH948" s="40"/>
      <c r="AI948" s="40"/>
      <c r="AJ948" s="40"/>
      <c r="AK948" s="40"/>
    </row>
    <row r="949">
      <c r="A949" s="300"/>
      <c r="B949" s="300"/>
      <c r="C949" s="300"/>
      <c r="D949" s="300"/>
      <c r="E949" s="300"/>
      <c r="F949" s="329"/>
      <c r="G949" s="300"/>
      <c r="H949" s="300"/>
      <c r="I949" s="300"/>
      <c r="J949" s="300"/>
      <c r="K949" s="300"/>
      <c r="L949" s="329"/>
      <c r="M949" s="29" t="str">
        <f t="shared" si="1"/>
        <v/>
      </c>
      <c r="N949" s="31" t="str">
        <f>IFERROR(__xludf.DUMMYFUNCTION("IF(Account!$F949&lt;&gt;"""", VALUE(REGEXREPLACE($I949, ""\,"", ""."")), """")"),"")</f>
        <v/>
      </c>
      <c r="O949" s="33" t="str">
        <f>IF(Account!$F949&lt;&gt;"", DATEVALUE(MID($A949,4,3) &amp; LEFT($A949,3) &amp; RIGHT($A949,4)) + TIMEVALUE($B949), "")</f>
        <v/>
      </c>
      <c r="P949" s="34" t="str">
        <f>IF(Account!$F949&lt;&gt;"", DATEVALUE(MID($C949,4,3) &amp; LEFT($C949,3) &amp; RIGHT($C949,4)), "")</f>
        <v/>
      </c>
      <c r="Q949" s="35" t="str">
        <f t="array" ref="Q949">IF($R949&lt;&gt;"",IFERROR(INDEX(Investment!$A:$A,MATCH($R949,Investment!$H:$H,0))),)</f>
        <v/>
      </c>
      <c r="R949" s="36" t="str">
        <f t="array" ref="R949">IF(AND($Y949="change",$H949="EUR"),IF(AND($AA949="Crédit",$O949=$O950),$R950,IF(AND($AA949="Débit",$O949=$O948),$R948)),IF(OR(AND(OR($E949&lt;&gt;"",$M949=""),$N949&lt;&gt;0),$A949=""),IFERROR(INDEX(Investment!$H:$H,MATCH($E949,Investment!$F:$F,0))),IFERROR(INDEX($R950:$R1119,MATCH(SUBSTITUTE($I949,"-","",1),$K950:$K1119,0)),INDEX($R950:$R1119,MATCH($K949,$K950:$K1119,0)))))</f>
        <v/>
      </c>
      <c r="S949" s="35" t="str">
        <f t="shared" si="2"/>
        <v/>
      </c>
      <c r="T949" s="37" t="str">
        <f t="shared" si="3"/>
        <v/>
      </c>
      <c r="U949" s="38" t="str">
        <f t="shared" si="4"/>
        <v/>
      </c>
      <c r="V949" s="31" t="str">
        <f t="shared" si="5"/>
        <v/>
      </c>
      <c r="W949" s="39" t="str">
        <f>IFERROR(__xludf.DUMMYFUNCTION(" IF(Account!$F949&lt;&gt;"""", SPLIT(Account!$F949, "" ""), """")"),"")</f>
        <v/>
      </c>
      <c r="X949" s="40"/>
      <c r="Y949" s="40"/>
      <c r="Z949" s="40"/>
      <c r="AA949" s="40"/>
      <c r="AB949" s="40"/>
      <c r="AC949" s="40"/>
      <c r="AD949" s="40"/>
      <c r="AE949" s="40"/>
      <c r="AF949" s="40"/>
      <c r="AG949" s="40"/>
      <c r="AH949" s="40"/>
      <c r="AI949" s="40"/>
      <c r="AJ949" s="40"/>
      <c r="AK949" s="40"/>
    </row>
    <row r="950">
      <c r="A950" s="300"/>
      <c r="B950" s="300"/>
      <c r="C950" s="300"/>
      <c r="D950" s="300"/>
      <c r="E950" s="300"/>
      <c r="F950" s="329"/>
      <c r="G950" s="300"/>
      <c r="H950" s="300"/>
      <c r="I950" s="300"/>
      <c r="J950" s="300"/>
      <c r="K950" s="300"/>
      <c r="L950" s="329"/>
      <c r="M950" s="29" t="str">
        <f t="shared" si="1"/>
        <v/>
      </c>
      <c r="N950" s="31" t="str">
        <f>IFERROR(__xludf.DUMMYFUNCTION("IF(Account!$F950&lt;&gt;"""", VALUE(REGEXREPLACE($I950, ""\,"", ""."")), """")"),"")</f>
        <v/>
      </c>
      <c r="O950" s="33" t="str">
        <f>IF(Account!$F950&lt;&gt;"", DATEVALUE(MID($A950,4,3) &amp; LEFT($A950,3) &amp; RIGHT($A950,4)) + TIMEVALUE($B950), "")</f>
        <v/>
      </c>
      <c r="P950" s="34" t="str">
        <f>IF(Account!$F950&lt;&gt;"", DATEVALUE(MID($C950,4,3) &amp; LEFT($C950,3) &amp; RIGHT($C950,4)), "")</f>
        <v/>
      </c>
      <c r="Q950" s="35" t="str">
        <f t="array" ref="Q950">IF($R950&lt;&gt;"",IFERROR(INDEX(Investment!$A:$A,MATCH($R950,Investment!$H:$H,0))),)</f>
        <v/>
      </c>
      <c r="R950" s="36" t="str">
        <f t="array" ref="R950">IF(AND($Y950="change",$H950="EUR"),IF(AND($AA950="Crédit",$O950=$O951),$R951,IF(AND($AA950="Débit",$O950=$O949),$R949)),IF(OR(AND(OR($E950&lt;&gt;"",$M950=""),$N950&lt;&gt;0),$A950=""),IFERROR(INDEX(Investment!$H:$H,MATCH($E950,Investment!$F:$F,0))),IFERROR(INDEX($R951:$R1119,MATCH(SUBSTITUTE($I950,"-","",1),$K951:$K1119,0)),INDEX($R951:$R1119,MATCH($K950,$K951:$K1119,0)))))</f>
        <v/>
      </c>
      <c r="S950" s="35" t="str">
        <f t="shared" si="2"/>
        <v/>
      </c>
      <c r="T950" s="37" t="str">
        <f t="shared" si="3"/>
        <v/>
      </c>
      <c r="U950" s="38" t="str">
        <f t="shared" si="4"/>
        <v/>
      </c>
      <c r="V950" s="31" t="str">
        <f t="shared" si="5"/>
        <v/>
      </c>
      <c r="W950" s="39" t="str">
        <f>IFERROR(__xludf.DUMMYFUNCTION(" IF(Account!$F950&lt;&gt;"""", SPLIT(Account!$F950, "" ""), """")"),"")</f>
        <v/>
      </c>
      <c r="X950" s="40"/>
      <c r="Y950" s="40"/>
      <c r="Z950" s="40"/>
      <c r="AA950" s="40"/>
      <c r="AB950" s="40"/>
      <c r="AC950" s="40"/>
      <c r="AD950" s="40"/>
      <c r="AE950" s="40"/>
      <c r="AF950" s="40"/>
      <c r="AG950" s="40"/>
      <c r="AH950" s="40"/>
      <c r="AI950" s="40"/>
      <c r="AJ950" s="40"/>
      <c r="AK950" s="40"/>
    </row>
    <row r="951">
      <c r="A951" s="300"/>
      <c r="B951" s="300"/>
      <c r="C951" s="300"/>
      <c r="D951" s="300"/>
      <c r="E951" s="300"/>
      <c r="F951" s="329"/>
      <c r="G951" s="300"/>
      <c r="H951" s="300"/>
      <c r="I951" s="300"/>
      <c r="J951" s="300"/>
      <c r="K951" s="300"/>
      <c r="L951" s="329"/>
      <c r="M951" s="29" t="str">
        <f t="shared" si="1"/>
        <v/>
      </c>
      <c r="N951" s="31" t="str">
        <f>IFERROR(__xludf.DUMMYFUNCTION("IF(Account!$F951&lt;&gt;"""", VALUE(REGEXREPLACE($I951, ""\,"", ""."")), """")"),"")</f>
        <v/>
      </c>
      <c r="O951" s="33" t="str">
        <f>IF(Account!$F951&lt;&gt;"", DATEVALUE(MID($A951,4,3) &amp; LEFT($A951,3) &amp; RIGHT($A951,4)) + TIMEVALUE($B951), "")</f>
        <v/>
      </c>
      <c r="P951" s="34" t="str">
        <f>IF(Account!$F951&lt;&gt;"", DATEVALUE(MID($C951,4,3) &amp; LEFT($C951,3) &amp; RIGHT($C951,4)), "")</f>
        <v/>
      </c>
      <c r="Q951" s="35" t="str">
        <f t="array" ref="Q951">IF($R951&lt;&gt;"",IFERROR(INDEX(Investment!$A:$A,MATCH($R951,Investment!$H:$H,0))),)</f>
        <v/>
      </c>
      <c r="R951" s="36" t="str">
        <f t="array" ref="R951">IF(AND($Y951="change",$H951="EUR"),IF(AND($AA951="Crédit",$O951=$O952),$R952,IF(AND($AA951="Débit",$O951=$O950),$R950)),IF(OR(AND(OR($E951&lt;&gt;"",$M951=""),$N951&lt;&gt;0),$A951=""),IFERROR(INDEX(Investment!$H:$H,MATCH($E951,Investment!$F:$F,0))),IFERROR(INDEX($R952:$R1119,MATCH(SUBSTITUTE($I951,"-","",1),$K952:$K1119,0)),INDEX($R952:$R1119,MATCH($K951,$K952:$K1119,0)))))</f>
        <v/>
      </c>
      <c r="S951" s="35" t="str">
        <f t="shared" si="2"/>
        <v/>
      </c>
      <c r="T951" s="37" t="str">
        <f t="shared" si="3"/>
        <v/>
      </c>
      <c r="U951" s="38" t="str">
        <f t="shared" si="4"/>
        <v/>
      </c>
      <c r="V951" s="31" t="str">
        <f t="shared" si="5"/>
        <v/>
      </c>
      <c r="W951" s="39" t="str">
        <f>IFERROR(__xludf.DUMMYFUNCTION(" IF(Account!$F951&lt;&gt;"""", SPLIT(Account!$F951, "" ""), """")"),"")</f>
        <v/>
      </c>
      <c r="X951" s="40"/>
      <c r="Y951" s="40"/>
      <c r="Z951" s="40"/>
      <c r="AA951" s="40"/>
      <c r="AB951" s="40"/>
      <c r="AC951" s="40"/>
      <c r="AD951" s="40"/>
      <c r="AE951" s="40"/>
      <c r="AF951" s="40"/>
      <c r="AG951" s="40"/>
      <c r="AH951" s="40"/>
      <c r="AI951" s="40"/>
      <c r="AJ951" s="40"/>
      <c r="AK951" s="40"/>
    </row>
    <row r="952">
      <c r="A952" s="300"/>
      <c r="B952" s="300"/>
      <c r="C952" s="300"/>
      <c r="D952" s="300"/>
      <c r="E952" s="300"/>
      <c r="F952" s="329"/>
      <c r="G952" s="300"/>
      <c r="H952" s="300"/>
      <c r="I952" s="300"/>
      <c r="J952" s="300"/>
      <c r="K952" s="300"/>
      <c r="L952" s="329"/>
      <c r="M952" s="29" t="str">
        <f t="shared" si="1"/>
        <v/>
      </c>
      <c r="N952" s="31" t="str">
        <f>IFERROR(__xludf.DUMMYFUNCTION("IF(Account!$F952&lt;&gt;"""", VALUE(REGEXREPLACE($I952, ""\,"", ""."")), """")"),"")</f>
        <v/>
      </c>
      <c r="O952" s="33" t="str">
        <f>IF(Account!$F952&lt;&gt;"", DATEVALUE(MID($A952,4,3) &amp; LEFT($A952,3) &amp; RIGHT($A952,4)) + TIMEVALUE($B952), "")</f>
        <v/>
      </c>
      <c r="P952" s="34" t="str">
        <f>IF(Account!$F952&lt;&gt;"", DATEVALUE(MID($C952,4,3) &amp; LEFT($C952,3) &amp; RIGHT($C952,4)), "")</f>
        <v/>
      </c>
      <c r="Q952" s="35" t="str">
        <f t="array" ref="Q952">IF($R952&lt;&gt;"",IFERROR(INDEX(Investment!$A:$A,MATCH($R952,Investment!$H:$H,0))),)</f>
        <v/>
      </c>
      <c r="R952" s="36" t="str">
        <f t="array" ref="R952">IF(AND($Y952="change",$H952="EUR"),IF(AND($AA952="Crédit",$O952=$O953),$R953,IF(AND($AA952="Débit",$O952=$O951),$R951)),IF(OR(AND(OR($E952&lt;&gt;"",$M952=""),$N952&lt;&gt;0),$A952=""),IFERROR(INDEX(Investment!$H:$H,MATCH($E952,Investment!$F:$F,0))),IFERROR(INDEX($R953:$R1119,MATCH(SUBSTITUTE($I952,"-","",1),$K953:$K1119,0)),INDEX($R953:$R1119,MATCH($K952,$K953:$K1119,0)))))</f>
        <v/>
      </c>
      <c r="S952" s="35" t="str">
        <f t="shared" si="2"/>
        <v/>
      </c>
      <c r="T952" s="37" t="str">
        <f t="shared" si="3"/>
        <v/>
      </c>
      <c r="U952" s="38" t="str">
        <f t="shared" si="4"/>
        <v/>
      </c>
      <c r="V952" s="31" t="str">
        <f t="shared" si="5"/>
        <v/>
      </c>
      <c r="W952" s="39" t="str">
        <f>IFERROR(__xludf.DUMMYFUNCTION(" IF(Account!$F952&lt;&gt;"""", SPLIT(Account!$F952, "" ""), """")"),"")</f>
        <v/>
      </c>
      <c r="X952" s="40"/>
      <c r="Y952" s="40"/>
      <c r="Z952" s="40"/>
      <c r="AA952" s="40"/>
      <c r="AB952" s="40"/>
      <c r="AC952" s="40"/>
      <c r="AD952" s="40"/>
      <c r="AE952" s="40"/>
      <c r="AF952" s="40"/>
      <c r="AG952" s="40"/>
      <c r="AH952" s="40"/>
      <c r="AI952" s="40"/>
      <c r="AJ952" s="40"/>
      <c r="AK952" s="40"/>
    </row>
    <row r="953">
      <c r="A953" s="300"/>
      <c r="B953" s="300"/>
      <c r="C953" s="300"/>
      <c r="D953" s="300"/>
      <c r="E953" s="300"/>
      <c r="F953" s="329"/>
      <c r="G953" s="300"/>
      <c r="H953" s="300"/>
      <c r="I953" s="300"/>
      <c r="J953" s="300"/>
      <c r="K953" s="300"/>
      <c r="L953" s="329"/>
      <c r="M953" s="29" t="str">
        <f t="shared" si="1"/>
        <v/>
      </c>
      <c r="N953" s="31" t="str">
        <f>IFERROR(__xludf.DUMMYFUNCTION("IF(Account!$F953&lt;&gt;"""", VALUE(REGEXREPLACE($I953, ""\,"", ""."")), """")"),"")</f>
        <v/>
      </c>
      <c r="O953" s="33" t="str">
        <f>IF(Account!$F953&lt;&gt;"", DATEVALUE(MID($A953,4,3) &amp; LEFT($A953,3) &amp; RIGHT($A953,4)) + TIMEVALUE($B953), "")</f>
        <v/>
      </c>
      <c r="P953" s="34" t="str">
        <f>IF(Account!$F953&lt;&gt;"", DATEVALUE(MID($C953,4,3) &amp; LEFT($C953,3) &amp; RIGHT($C953,4)), "")</f>
        <v/>
      </c>
      <c r="Q953" s="35" t="str">
        <f t="array" ref="Q953">IF($R953&lt;&gt;"",IFERROR(INDEX(Investment!$A:$A,MATCH($R953,Investment!$H:$H,0))),)</f>
        <v/>
      </c>
      <c r="R953" s="36" t="str">
        <f t="array" ref="R953">IF(AND($Y953="change",$H953="EUR"),IF(AND($AA953="Crédit",$O953=$O954),$R954,IF(AND($AA953="Débit",$O953=$O952),$R952)),IF(OR(AND(OR($E953&lt;&gt;"",$M953=""),$N953&lt;&gt;0),$A953=""),IFERROR(INDEX(Investment!$H:$H,MATCH($E953,Investment!$F:$F,0))),IFERROR(INDEX($R954:$R1119,MATCH(SUBSTITUTE($I953,"-","",1),$K954:$K1119,0)),INDEX($R954:$R1119,MATCH($K953,$K954:$K1119,0)))))</f>
        <v/>
      </c>
      <c r="S953" s="35" t="str">
        <f t="shared" si="2"/>
        <v/>
      </c>
      <c r="T953" s="37" t="str">
        <f t="shared" si="3"/>
        <v/>
      </c>
      <c r="U953" s="38" t="str">
        <f t="shared" si="4"/>
        <v/>
      </c>
      <c r="V953" s="31" t="str">
        <f t="shared" si="5"/>
        <v/>
      </c>
      <c r="W953" s="39" t="str">
        <f>IFERROR(__xludf.DUMMYFUNCTION(" IF(Account!$F953&lt;&gt;"""", SPLIT(Account!$F953, "" ""), """")"),"")</f>
        <v/>
      </c>
      <c r="X953" s="40"/>
      <c r="Y953" s="40"/>
      <c r="Z953" s="40"/>
      <c r="AA953" s="40"/>
      <c r="AB953" s="40"/>
      <c r="AC953" s="40"/>
      <c r="AD953" s="40"/>
      <c r="AE953" s="40"/>
      <c r="AF953" s="40"/>
      <c r="AG953" s="40"/>
      <c r="AH953" s="40"/>
      <c r="AI953" s="40"/>
      <c r="AJ953" s="40"/>
      <c r="AK953" s="40"/>
    </row>
    <row r="954">
      <c r="A954" s="300"/>
      <c r="B954" s="300"/>
      <c r="C954" s="300"/>
      <c r="D954" s="300"/>
      <c r="E954" s="300"/>
      <c r="F954" s="329"/>
      <c r="G954" s="300"/>
      <c r="H954" s="300"/>
      <c r="I954" s="300"/>
      <c r="J954" s="300"/>
      <c r="K954" s="300"/>
      <c r="L954" s="329"/>
      <c r="M954" s="29" t="str">
        <f t="shared" si="1"/>
        <v/>
      </c>
      <c r="N954" s="31" t="str">
        <f>IFERROR(__xludf.DUMMYFUNCTION("IF(Account!$F954&lt;&gt;"""", VALUE(REGEXREPLACE($I954, ""\,"", ""."")), """")"),"")</f>
        <v/>
      </c>
      <c r="O954" s="33" t="str">
        <f>IF(Account!$F954&lt;&gt;"", DATEVALUE(MID($A954,4,3) &amp; LEFT($A954,3) &amp; RIGHT($A954,4)) + TIMEVALUE($B954), "")</f>
        <v/>
      </c>
      <c r="P954" s="34" t="str">
        <f>IF(Account!$F954&lt;&gt;"", DATEVALUE(MID($C954,4,3) &amp; LEFT($C954,3) &amp; RIGHT($C954,4)), "")</f>
        <v/>
      </c>
      <c r="Q954" s="35" t="str">
        <f t="array" ref="Q954">IF($R954&lt;&gt;"",IFERROR(INDEX(Investment!$A:$A,MATCH($R954,Investment!$H:$H,0))),)</f>
        <v/>
      </c>
      <c r="R954" s="36" t="str">
        <f t="array" ref="R954">IF(AND($Y954="change",$H954="EUR"),IF(AND($AA954="Crédit",$O954=$O955),$R955,IF(AND($AA954="Débit",$O954=$O953),$R953)),IF(OR(AND(OR($E954&lt;&gt;"",$M954=""),$N954&lt;&gt;0),$A954=""),IFERROR(INDEX(Investment!$H:$H,MATCH($E954,Investment!$F:$F,0))),IFERROR(INDEX($R955:$R1119,MATCH(SUBSTITUTE($I954,"-","",1),$K955:$K1119,0)),INDEX($R955:$R1119,MATCH($K954,$K955:$K1119,0)))))</f>
        <v/>
      </c>
      <c r="S954" s="35" t="str">
        <f t="shared" si="2"/>
        <v/>
      </c>
      <c r="T954" s="37" t="str">
        <f t="shared" si="3"/>
        <v/>
      </c>
      <c r="U954" s="38" t="str">
        <f t="shared" si="4"/>
        <v/>
      </c>
      <c r="V954" s="31" t="str">
        <f t="shared" si="5"/>
        <v/>
      </c>
      <c r="W954" s="39" t="str">
        <f>IFERROR(__xludf.DUMMYFUNCTION(" IF(Account!$F954&lt;&gt;"""", SPLIT(Account!$F954, "" ""), """")"),"")</f>
        <v/>
      </c>
      <c r="X954" s="40"/>
      <c r="Y954" s="40"/>
      <c r="Z954" s="40"/>
      <c r="AA954" s="40"/>
      <c r="AB954" s="40"/>
      <c r="AC954" s="40"/>
      <c r="AD954" s="40"/>
      <c r="AE954" s="40"/>
      <c r="AF954" s="40"/>
      <c r="AG954" s="40"/>
      <c r="AH954" s="40"/>
      <c r="AI954" s="40"/>
      <c r="AJ954" s="40"/>
      <c r="AK954" s="40"/>
    </row>
    <row r="955">
      <c r="A955" s="300"/>
      <c r="B955" s="300"/>
      <c r="C955" s="300"/>
      <c r="D955" s="300"/>
      <c r="E955" s="300"/>
      <c r="F955" s="329"/>
      <c r="G955" s="300"/>
      <c r="H955" s="300"/>
      <c r="I955" s="300"/>
      <c r="J955" s="300"/>
      <c r="K955" s="300"/>
      <c r="L955" s="329"/>
      <c r="M955" s="29" t="str">
        <f t="shared" si="1"/>
        <v/>
      </c>
      <c r="N955" s="31" t="str">
        <f>IFERROR(__xludf.DUMMYFUNCTION("IF(Account!$F955&lt;&gt;"""", VALUE(REGEXREPLACE($I955, ""\,"", ""."")), """")"),"")</f>
        <v/>
      </c>
      <c r="O955" s="33" t="str">
        <f>IF(Account!$F955&lt;&gt;"", DATEVALUE(MID($A955,4,3) &amp; LEFT($A955,3) &amp; RIGHT($A955,4)) + TIMEVALUE($B955), "")</f>
        <v/>
      </c>
      <c r="P955" s="34" t="str">
        <f>IF(Account!$F955&lt;&gt;"", DATEVALUE(MID($C955,4,3) &amp; LEFT($C955,3) &amp; RIGHT($C955,4)), "")</f>
        <v/>
      </c>
      <c r="Q955" s="35" t="str">
        <f t="array" ref="Q955">IF($R955&lt;&gt;"",IFERROR(INDEX(Investment!$A:$A,MATCH($R955,Investment!$H:$H,0))),)</f>
        <v/>
      </c>
      <c r="R955" s="36" t="str">
        <f t="array" ref="R955">IF(AND($Y955="change",$H955="EUR"),IF(AND($AA955="Crédit",$O955=$O956),$R956,IF(AND($AA955="Débit",$O955=$O954),$R954)),IF(OR(AND(OR($E955&lt;&gt;"",$M955=""),$N955&lt;&gt;0),$A955=""),IFERROR(INDEX(Investment!$H:$H,MATCH($E955,Investment!$F:$F,0))),IFERROR(INDEX($R956:$R1119,MATCH(SUBSTITUTE($I955,"-","",1),$K956:$K1119,0)),INDEX($R956:$R1119,MATCH($K955,$K956:$K1119,0)))))</f>
        <v/>
      </c>
      <c r="S955" s="35" t="str">
        <f t="shared" si="2"/>
        <v/>
      </c>
      <c r="T955" s="37" t="str">
        <f t="shared" si="3"/>
        <v/>
      </c>
      <c r="U955" s="38" t="str">
        <f t="shared" si="4"/>
        <v/>
      </c>
      <c r="V955" s="31" t="str">
        <f t="shared" si="5"/>
        <v/>
      </c>
      <c r="W955" s="39" t="str">
        <f>IFERROR(__xludf.DUMMYFUNCTION(" IF(Account!$F955&lt;&gt;"""", SPLIT(Account!$F955, "" ""), """")"),"")</f>
        <v/>
      </c>
      <c r="X955" s="40"/>
      <c r="Y955" s="40"/>
      <c r="Z955" s="40"/>
      <c r="AA955" s="40"/>
      <c r="AB955" s="40"/>
      <c r="AC955" s="40"/>
      <c r="AD955" s="40"/>
      <c r="AE955" s="40"/>
      <c r="AF955" s="40"/>
      <c r="AG955" s="40"/>
      <c r="AH955" s="40"/>
      <c r="AI955" s="40"/>
      <c r="AJ955" s="40"/>
      <c r="AK955" s="40"/>
    </row>
    <row r="956">
      <c r="A956" s="300"/>
      <c r="B956" s="300"/>
      <c r="C956" s="300"/>
      <c r="D956" s="300"/>
      <c r="E956" s="300"/>
      <c r="F956" s="329"/>
      <c r="G956" s="300"/>
      <c r="H956" s="300"/>
      <c r="I956" s="300"/>
      <c r="J956" s="300"/>
      <c r="K956" s="300"/>
      <c r="L956" s="329"/>
      <c r="M956" s="29" t="str">
        <f t="shared" si="1"/>
        <v/>
      </c>
      <c r="N956" s="31" t="str">
        <f>IFERROR(__xludf.DUMMYFUNCTION("IF(Account!$F956&lt;&gt;"""", VALUE(REGEXREPLACE($I956, ""\,"", ""."")), """")"),"")</f>
        <v/>
      </c>
      <c r="O956" s="33" t="str">
        <f>IF(Account!$F956&lt;&gt;"", DATEVALUE(MID($A956,4,3) &amp; LEFT($A956,3) &amp; RIGHT($A956,4)) + TIMEVALUE($B956), "")</f>
        <v/>
      </c>
      <c r="P956" s="34" t="str">
        <f>IF(Account!$F956&lt;&gt;"", DATEVALUE(MID($C956,4,3) &amp; LEFT($C956,3) &amp; RIGHT($C956,4)), "")</f>
        <v/>
      </c>
      <c r="Q956" s="35" t="str">
        <f t="array" ref="Q956">IF($R956&lt;&gt;"",IFERROR(INDEX(Investment!$A:$A,MATCH($R956,Investment!$H:$H,0))),)</f>
        <v/>
      </c>
      <c r="R956" s="36" t="str">
        <f t="array" ref="R956">IF(AND($Y956="change",$H956="EUR"),IF(AND($AA956="Crédit",$O956=$O957),$R957,IF(AND($AA956="Débit",$O956=$O955),$R955)),IF(OR(AND(OR($E956&lt;&gt;"",$M956=""),$N956&lt;&gt;0),$A956=""),IFERROR(INDEX(Investment!$H:$H,MATCH($E956,Investment!$F:$F,0))),IFERROR(INDEX($R957:$R1119,MATCH(SUBSTITUTE($I956,"-","",1),$K957:$K1119,0)),INDEX($R957:$R1119,MATCH($K956,$K957:$K1119,0)))))</f>
        <v/>
      </c>
      <c r="S956" s="35" t="str">
        <f t="shared" si="2"/>
        <v/>
      </c>
      <c r="T956" s="37" t="str">
        <f t="shared" si="3"/>
        <v/>
      </c>
      <c r="U956" s="38" t="str">
        <f t="shared" si="4"/>
        <v/>
      </c>
      <c r="V956" s="31" t="str">
        <f t="shared" si="5"/>
        <v/>
      </c>
      <c r="W956" s="39" t="str">
        <f>IFERROR(__xludf.DUMMYFUNCTION(" IF(Account!$F956&lt;&gt;"""", SPLIT(Account!$F956, "" ""), """")"),"")</f>
        <v/>
      </c>
      <c r="X956" s="40"/>
      <c r="Y956" s="40"/>
      <c r="Z956" s="40"/>
      <c r="AA956" s="40"/>
      <c r="AB956" s="40"/>
      <c r="AC956" s="40"/>
      <c r="AD956" s="40"/>
      <c r="AE956" s="40"/>
      <c r="AF956" s="40"/>
      <c r="AG956" s="40"/>
      <c r="AH956" s="40"/>
      <c r="AI956" s="40"/>
      <c r="AJ956" s="40"/>
      <c r="AK956" s="40"/>
    </row>
    <row r="957">
      <c r="A957" s="300"/>
      <c r="B957" s="300"/>
      <c r="C957" s="300"/>
      <c r="D957" s="300"/>
      <c r="E957" s="300"/>
      <c r="F957" s="329"/>
      <c r="G957" s="300"/>
      <c r="H957" s="300"/>
      <c r="I957" s="300"/>
      <c r="J957" s="300"/>
      <c r="K957" s="300"/>
      <c r="L957" s="329"/>
      <c r="M957" s="29" t="str">
        <f t="shared" si="1"/>
        <v/>
      </c>
      <c r="N957" s="31" t="str">
        <f>IFERROR(__xludf.DUMMYFUNCTION("IF(Account!$F957&lt;&gt;"""", VALUE(REGEXREPLACE($I957, ""\,"", ""."")), """")"),"")</f>
        <v/>
      </c>
      <c r="O957" s="33" t="str">
        <f>IF(Account!$F957&lt;&gt;"", DATEVALUE(MID($A957,4,3) &amp; LEFT($A957,3) &amp; RIGHT($A957,4)) + TIMEVALUE($B957), "")</f>
        <v/>
      </c>
      <c r="P957" s="34" t="str">
        <f>IF(Account!$F957&lt;&gt;"", DATEVALUE(MID($C957,4,3) &amp; LEFT($C957,3) &amp; RIGHT($C957,4)), "")</f>
        <v/>
      </c>
      <c r="Q957" s="35" t="str">
        <f t="array" ref="Q957">IF($R957&lt;&gt;"",IFERROR(INDEX(Investment!$A:$A,MATCH($R957,Investment!$H:$H,0))),)</f>
        <v/>
      </c>
      <c r="R957" s="36" t="str">
        <f t="array" ref="R957">IF(AND($Y957="change",$H957="EUR"),IF(AND($AA957="Crédit",$O957=$O958),$R958,IF(AND($AA957="Débit",$O957=$O956),$R956)),IF(OR(AND(OR($E957&lt;&gt;"",$M957=""),$N957&lt;&gt;0),$A957=""),IFERROR(INDEX(Investment!$H:$H,MATCH($E957,Investment!$F:$F,0))),IFERROR(INDEX($R958:$R1119,MATCH(SUBSTITUTE($I957,"-","",1),$K958:$K1119,0)),INDEX($R958:$R1119,MATCH($K957,$K958:$K1119,0)))))</f>
        <v/>
      </c>
      <c r="S957" s="35" t="str">
        <f t="shared" si="2"/>
        <v/>
      </c>
      <c r="T957" s="37" t="str">
        <f t="shared" si="3"/>
        <v/>
      </c>
      <c r="U957" s="38" t="str">
        <f t="shared" si="4"/>
        <v/>
      </c>
      <c r="V957" s="31" t="str">
        <f t="shared" si="5"/>
        <v/>
      </c>
      <c r="W957" s="39" t="str">
        <f>IFERROR(__xludf.DUMMYFUNCTION(" IF(Account!$F957&lt;&gt;"""", SPLIT(Account!$F957, "" ""), """")"),"")</f>
        <v/>
      </c>
      <c r="X957" s="40"/>
      <c r="Y957" s="40"/>
      <c r="Z957" s="40"/>
      <c r="AA957" s="40"/>
      <c r="AB957" s="40"/>
      <c r="AC957" s="40"/>
      <c r="AD957" s="40"/>
      <c r="AE957" s="40"/>
      <c r="AF957" s="40"/>
      <c r="AG957" s="40"/>
      <c r="AH957" s="40"/>
      <c r="AI957" s="40"/>
      <c r="AJ957" s="40"/>
      <c r="AK957" s="40"/>
    </row>
    <row r="958">
      <c r="A958" s="300"/>
      <c r="B958" s="300"/>
      <c r="C958" s="300"/>
      <c r="D958" s="300"/>
      <c r="E958" s="300"/>
      <c r="F958" s="329"/>
      <c r="G958" s="300"/>
      <c r="H958" s="300"/>
      <c r="I958" s="300"/>
      <c r="J958" s="300"/>
      <c r="K958" s="300"/>
      <c r="L958" s="329"/>
      <c r="M958" s="29" t="str">
        <f t="shared" si="1"/>
        <v/>
      </c>
      <c r="N958" s="31" t="str">
        <f>IFERROR(__xludf.DUMMYFUNCTION("IF(Account!$F958&lt;&gt;"""", VALUE(REGEXREPLACE($I958, ""\,"", ""."")), """")"),"")</f>
        <v/>
      </c>
      <c r="O958" s="33" t="str">
        <f>IF(Account!$F958&lt;&gt;"", DATEVALUE(MID($A958,4,3) &amp; LEFT($A958,3) &amp; RIGHT($A958,4)) + TIMEVALUE($B958), "")</f>
        <v/>
      </c>
      <c r="P958" s="34" t="str">
        <f>IF(Account!$F958&lt;&gt;"", DATEVALUE(MID($C958,4,3) &amp; LEFT($C958,3) &amp; RIGHT($C958,4)), "")</f>
        <v/>
      </c>
      <c r="Q958" s="35" t="str">
        <f t="array" ref="Q958">IF($R958&lt;&gt;"",IFERROR(INDEX(Investment!$A:$A,MATCH($R958,Investment!$H:$H,0))),)</f>
        <v/>
      </c>
      <c r="R958" s="36" t="str">
        <f t="array" ref="R958">IF(AND($Y958="change",$H958="EUR"),IF(AND($AA958="Crédit",$O958=$O959),$R959,IF(AND($AA958="Débit",$O958=$O957),$R957)),IF(OR(AND(OR($E958&lt;&gt;"",$M958=""),$N958&lt;&gt;0),$A958=""),IFERROR(INDEX(Investment!$H:$H,MATCH($E958,Investment!$F:$F,0))),IFERROR(INDEX($R959:$R1119,MATCH(SUBSTITUTE($I958,"-","",1),$K959:$K1119,0)),INDEX($R959:$R1119,MATCH($K958,$K959:$K1119,0)))))</f>
        <v/>
      </c>
      <c r="S958" s="35" t="str">
        <f t="shared" si="2"/>
        <v/>
      </c>
      <c r="T958" s="37" t="str">
        <f t="shared" si="3"/>
        <v/>
      </c>
      <c r="U958" s="38" t="str">
        <f t="shared" si="4"/>
        <v/>
      </c>
      <c r="V958" s="31" t="str">
        <f t="shared" si="5"/>
        <v/>
      </c>
      <c r="W958" s="39" t="str">
        <f>IFERROR(__xludf.DUMMYFUNCTION(" IF(Account!$F958&lt;&gt;"""", SPLIT(Account!$F958, "" ""), """")"),"")</f>
        <v/>
      </c>
      <c r="X958" s="40"/>
      <c r="Y958" s="40"/>
      <c r="Z958" s="40"/>
      <c r="AA958" s="40"/>
      <c r="AB958" s="40"/>
      <c r="AC958" s="40"/>
      <c r="AD958" s="40"/>
      <c r="AE958" s="40"/>
      <c r="AF958" s="40"/>
      <c r="AG958" s="40"/>
      <c r="AH958" s="40"/>
      <c r="AI958" s="40"/>
      <c r="AJ958" s="40"/>
      <c r="AK958" s="40"/>
    </row>
    <row r="959">
      <c r="A959" s="300"/>
      <c r="B959" s="300"/>
      <c r="C959" s="300"/>
      <c r="D959" s="300"/>
      <c r="E959" s="300"/>
      <c r="F959" s="329"/>
      <c r="G959" s="300"/>
      <c r="H959" s="300"/>
      <c r="I959" s="300"/>
      <c r="J959" s="300"/>
      <c r="K959" s="300"/>
      <c r="L959" s="329"/>
      <c r="M959" s="29" t="str">
        <f t="shared" si="1"/>
        <v/>
      </c>
      <c r="N959" s="31" t="str">
        <f>IFERROR(__xludf.DUMMYFUNCTION("IF(Account!$F959&lt;&gt;"""", VALUE(REGEXREPLACE($I959, ""\,"", ""."")), """")"),"")</f>
        <v/>
      </c>
      <c r="O959" s="33" t="str">
        <f>IF(Account!$F959&lt;&gt;"", DATEVALUE(MID($A959,4,3) &amp; LEFT($A959,3) &amp; RIGHT($A959,4)) + TIMEVALUE($B959), "")</f>
        <v/>
      </c>
      <c r="P959" s="34" t="str">
        <f>IF(Account!$F959&lt;&gt;"", DATEVALUE(MID($C959,4,3) &amp; LEFT($C959,3) &amp; RIGHT($C959,4)), "")</f>
        <v/>
      </c>
      <c r="Q959" s="35" t="str">
        <f t="array" ref="Q959">IF($R959&lt;&gt;"",IFERROR(INDEX(Investment!$A:$A,MATCH($R959,Investment!$H:$H,0))),)</f>
        <v/>
      </c>
      <c r="R959" s="36" t="str">
        <f t="array" ref="R959">IF(AND($Y959="change",$H959="EUR"),IF(AND($AA959="Crédit",$O959=$O960),$R960,IF(AND($AA959="Débit",$O959=$O958),$R958)),IF(OR(AND(OR($E959&lt;&gt;"",$M959=""),$N959&lt;&gt;0),$A959=""),IFERROR(INDEX(Investment!$H:$H,MATCH($E959,Investment!$F:$F,0))),IFERROR(INDEX($R960:$R1119,MATCH(SUBSTITUTE($I959,"-","",1),$K960:$K1119,0)),INDEX($R960:$R1119,MATCH($K959,$K960:$K1119,0)))))</f>
        <v/>
      </c>
      <c r="S959" s="35" t="str">
        <f t="shared" si="2"/>
        <v/>
      </c>
      <c r="T959" s="37" t="str">
        <f t="shared" si="3"/>
        <v/>
      </c>
      <c r="U959" s="38" t="str">
        <f t="shared" si="4"/>
        <v/>
      </c>
      <c r="V959" s="31" t="str">
        <f t="shared" si="5"/>
        <v/>
      </c>
      <c r="W959" s="39" t="str">
        <f>IFERROR(__xludf.DUMMYFUNCTION(" IF(Account!$F959&lt;&gt;"""", SPLIT(Account!$F959, "" ""), """")"),"")</f>
        <v/>
      </c>
      <c r="X959" s="40"/>
      <c r="Y959" s="40"/>
      <c r="Z959" s="40"/>
      <c r="AA959" s="40"/>
      <c r="AB959" s="40"/>
      <c r="AC959" s="40"/>
      <c r="AD959" s="40"/>
      <c r="AE959" s="40"/>
      <c r="AF959" s="40"/>
      <c r="AG959" s="40"/>
      <c r="AH959" s="40"/>
      <c r="AI959" s="40"/>
      <c r="AJ959" s="40"/>
      <c r="AK959" s="40"/>
    </row>
    <row r="960">
      <c r="A960" s="300"/>
      <c r="B960" s="300"/>
      <c r="C960" s="300"/>
      <c r="D960" s="300"/>
      <c r="E960" s="300"/>
      <c r="F960" s="329"/>
      <c r="G960" s="300"/>
      <c r="H960" s="300"/>
      <c r="I960" s="300"/>
      <c r="J960" s="300"/>
      <c r="K960" s="300"/>
      <c r="L960" s="329"/>
      <c r="M960" s="29" t="str">
        <f t="shared" si="1"/>
        <v/>
      </c>
      <c r="N960" s="31" t="str">
        <f>IFERROR(__xludf.DUMMYFUNCTION("IF(Account!$F960&lt;&gt;"""", VALUE(REGEXREPLACE($I960, ""\,"", ""."")), """")"),"")</f>
        <v/>
      </c>
      <c r="O960" s="33" t="str">
        <f>IF(Account!$F960&lt;&gt;"", DATEVALUE(MID($A960,4,3) &amp; LEFT($A960,3) &amp; RIGHT($A960,4)) + TIMEVALUE($B960), "")</f>
        <v/>
      </c>
      <c r="P960" s="34" t="str">
        <f>IF(Account!$F960&lt;&gt;"", DATEVALUE(MID($C960,4,3) &amp; LEFT($C960,3) &amp; RIGHT($C960,4)), "")</f>
        <v/>
      </c>
      <c r="Q960" s="35" t="str">
        <f t="array" ref="Q960">IF($R960&lt;&gt;"",IFERROR(INDEX(Investment!$A:$A,MATCH($R960,Investment!$H:$H,0))),)</f>
        <v/>
      </c>
      <c r="R960" s="36" t="str">
        <f t="array" ref="R960">IF(AND($Y960="change",$H960="EUR"),IF(AND($AA960="Crédit",$O960=$O961),$R961,IF(AND($AA960="Débit",$O960=$O959),$R959)),IF(OR(AND(OR($E960&lt;&gt;"",$M960=""),$N960&lt;&gt;0),$A960=""),IFERROR(INDEX(Investment!$H:$H,MATCH($E960,Investment!$F:$F,0))),IFERROR(INDEX($R961:$R1119,MATCH(SUBSTITUTE($I960,"-","",1),$K961:$K1119,0)),INDEX($R961:$R1119,MATCH($K960,$K961:$K1119,0)))))</f>
        <v/>
      </c>
      <c r="S960" s="35" t="str">
        <f t="shared" si="2"/>
        <v/>
      </c>
      <c r="T960" s="37" t="str">
        <f t="shared" si="3"/>
        <v/>
      </c>
      <c r="U960" s="38" t="str">
        <f t="shared" si="4"/>
        <v/>
      </c>
      <c r="V960" s="31" t="str">
        <f t="shared" si="5"/>
        <v/>
      </c>
      <c r="W960" s="39" t="str">
        <f>IFERROR(__xludf.DUMMYFUNCTION(" IF(Account!$F960&lt;&gt;"""", SPLIT(Account!$F960, "" ""), """")"),"")</f>
        <v/>
      </c>
      <c r="X960" s="40"/>
      <c r="Y960" s="40"/>
      <c r="Z960" s="40"/>
      <c r="AA960" s="40"/>
      <c r="AB960" s="40"/>
      <c r="AC960" s="40"/>
      <c r="AD960" s="40"/>
      <c r="AE960" s="40"/>
      <c r="AF960" s="40"/>
      <c r="AG960" s="40"/>
      <c r="AH960" s="40"/>
      <c r="AI960" s="40"/>
      <c r="AJ960" s="40"/>
      <c r="AK960" s="40"/>
    </row>
    <row r="961">
      <c r="A961" s="300"/>
      <c r="B961" s="300"/>
      <c r="C961" s="300"/>
      <c r="D961" s="300"/>
      <c r="E961" s="300"/>
      <c r="F961" s="329"/>
      <c r="G961" s="300"/>
      <c r="H961" s="300"/>
      <c r="I961" s="300"/>
      <c r="J961" s="300"/>
      <c r="K961" s="300"/>
      <c r="L961" s="329"/>
      <c r="M961" s="29" t="str">
        <f t="shared" si="1"/>
        <v/>
      </c>
      <c r="N961" s="31" t="str">
        <f>IFERROR(__xludf.DUMMYFUNCTION("IF(Account!$F961&lt;&gt;"""", VALUE(REGEXREPLACE($I961, ""\,"", ""."")), """")"),"")</f>
        <v/>
      </c>
      <c r="O961" s="33" t="str">
        <f>IF(Account!$F961&lt;&gt;"", DATEVALUE(MID($A961,4,3) &amp; LEFT($A961,3) &amp; RIGHT($A961,4)) + TIMEVALUE($B961), "")</f>
        <v/>
      </c>
      <c r="P961" s="34" t="str">
        <f>IF(Account!$F961&lt;&gt;"", DATEVALUE(MID($C961,4,3) &amp; LEFT($C961,3) &amp; RIGHT($C961,4)), "")</f>
        <v/>
      </c>
      <c r="Q961" s="35" t="str">
        <f t="array" ref="Q961">IF($R961&lt;&gt;"",IFERROR(INDEX(Investment!$A:$A,MATCH($R961,Investment!$H:$H,0))),)</f>
        <v/>
      </c>
      <c r="R961" s="36" t="str">
        <f t="array" ref="R961">IF(AND($Y961="change",$H961="EUR"),IF(AND($AA961="Crédit",$O961=$O962),$R962,IF(AND($AA961="Débit",$O961=$O960),$R960)),IF(OR(AND(OR($E961&lt;&gt;"",$M961=""),$N961&lt;&gt;0),$A961=""),IFERROR(INDEX(Investment!$H:$H,MATCH($E961,Investment!$F:$F,0))),IFERROR(INDEX($R962:$R1119,MATCH(SUBSTITUTE($I961,"-","",1),$K962:$K1119,0)),INDEX($R962:$R1119,MATCH($K961,$K962:$K1119,0)))))</f>
        <v/>
      </c>
      <c r="S961" s="35" t="str">
        <f t="shared" si="2"/>
        <v/>
      </c>
      <c r="T961" s="37" t="str">
        <f t="shared" si="3"/>
        <v/>
      </c>
      <c r="U961" s="38" t="str">
        <f t="shared" si="4"/>
        <v/>
      </c>
      <c r="V961" s="31" t="str">
        <f t="shared" si="5"/>
        <v/>
      </c>
      <c r="W961" s="39" t="str">
        <f>IFERROR(__xludf.DUMMYFUNCTION(" IF(Account!$F961&lt;&gt;"""", SPLIT(Account!$F961, "" ""), """")"),"")</f>
        <v/>
      </c>
      <c r="X961" s="40"/>
      <c r="Y961" s="40"/>
      <c r="Z961" s="40"/>
      <c r="AA961" s="40"/>
      <c r="AB961" s="40"/>
      <c r="AC961" s="40"/>
      <c r="AD961" s="40"/>
      <c r="AE961" s="40"/>
      <c r="AF961" s="40"/>
      <c r="AG961" s="40"/>
      <c r="AH961" s="40"/>
      <c r="AI961" s="40"/>
      <c r="AJ961" s="40"/>
      <c r="AK961" s="40"/>
    </row>
    <row r="962">
      <c r="A962" s="300"/>
      <c r="B962" s="300"/>
      <c r="C962" s="300"/>
      <c r="D962" s="300"/>
      <c r="E962" s="300"/>
      <c r="F962" s="329"/>
      <c r="G962" s="300"/>
      <c r="H962" s="300"/>
      <c r="I962" s="300"/>
      <c r="J962" s="300"/>
      <c r="K962" s="300"/>
      <c r="L962" s="329"/>
      <c r="M962" s="29" t="str">
        <f t="shared" si="1"/>
        <v/>
      </c>
      <c r="N962" s="31" t="str">
        <f>IFERROR(__xludf.DUMMYFUNCTION("IF(Account!$F962&lt;&gt;"""", VALUE(REGEXREPLACE($I962, ""\,"", ""."")), """")"),"")</f>
        <v/>
      </c>
      <c r="O962" s="33" t="str">
        <f>IF(Account!$F962&lt;&gt;"", DATEVALUE(MID($A962,4,3) &amp; LEFT($A962,3) &amp; RIGHT($A962,4)) + TIMEVALUE($B962), "")</f>
        <v/>
      </c>
      <c r="P962" s="34" t="str">
        <f>IF(Account!$F962&lt;&gt;"", DATEVALUE(MID($C962,4,3) &amp; LEFT($C962,3) &amp; RIGHT($C962,4)), "")</f>
        <v/>
      </c>
      <c r="Q962" s="35" t="str">
        <f t="array" ref="Q962">IF($R962&lt;&gt;"",IFERROR(INDEX(Investment!$A:$A,MATCH($R962,Investment!$H:$H,0))),)</f>
        <v/>
      </c>
      <c r="R962" s="36" t="str">
        <f t="array" ref="R962">IF(AND($Y962="change",$H962="EUR"),IF(AND($AA962="Crédit",$O962=$O963),$R963,IF(AND($AA962="Débit",$O962=$O961),$R961)),IF(OR(AND(OR($E962&lt;&gt;"",$M962=""),$N962&lt;&gt;0),$A962=""),IFERROR(INDEX(Investment!$H:$H,MATCH($E962,Investment!$F:$F,0))),IFERROR(INDEX($R963:$R1119,MATCH(SUBSTITUTE($I962,"-","",1),$K963:$K1119,0)),INDEX($R963:$R1119,MATCH($K962,$K963:$K1119,0)))))</f>
        <v/>
      </c>
      <c r="S962" s="35" t="str">
        <f t="shared" si="2"/>
        <v/>
      </c>
      <c r="T962" s="37" t="str">
        <f t="shared" si="3"/>
        <v/>
      </c>
      <c r="U962" s="38" t="str">
        <f t="shared" si="4"/>
        <v/>
      </c>
      <c r="V962" s="31" t="str">
        <f t="shared" si="5"/>
        <v/>
      </c>
      <c r="W962" s="39" t="str">
        <f>IFERROR(__xludf.DUMMYFUNCTION(" IF(Account!$F962&lt;&gt;"""", SPLIT(Account!$F962, "" ""), """")"),"")</f>
        <v/>
      </c>
      <c r="X962" s="40"/>
      <c r="Y962" s="40"/>
      <c r="Z962" s="40"/>
      <c r="AA962" s="40"/>
      <c r="AB962" s="40"/>
      <c r="AC962" s="40"/>
      <c r="AD962" s="40"/>
      <c r="AE962" s="40"/>
      <c r="AF962" s="40"/>
      <c r="AG962" s="40"/>
      <c r="AH962" s="40"/>
      <c r="AI962" s="40"/>
      <c r="AJ962" s="40"/>
      <c r="AK962" s="40"/>
    </row>
    <row r="963">
      <c r="A963" s="300"/>
      <c r="B963" s="300"/>
      <c r="C963" s="300"/>
      <c r="D963" s="300"/>
      <c r="E963" s="300"/>
      <c r="F963" s="329"/>
      <c r="G963" s="300"/>
      <c r="H963" s="300"/>
      <c r="I963" s="300"/>
      <c r="J963" s="300"/>
      <c r="K963" s="300"/>
      <c r="L963" s="329"/>
      <c r="M963" s="29" t="str">
        <f t="shared" si="1"/>
        <v/>
      </c>
      <c r="N963" s="31" t="str">
        <f>IFERROR(__xludf.DUMMYFUNCTION("IF(Account!$F963&lt;&gt;"""", VALUE(REGEXREPLACE($I963, ""\,"", ""."")), """")"),"")</f>
        <v/>
      </c>
      <c r="O963" s="33" t="str">
        <f>IF(Account!$F963&lt;&gt;"", DATEVALUE(MID($A963,4,3) &amp; LEFT($A963,3) &amp; RIGHT($A963,4)) + TIMEVALUE($B963), "")</f>
        <v/>
      </c>
      <c r="P963" s="34" t="str">
        <f>IF(Account!$F963&lt;&gt;"", DATEVALUE(MID($C963,4,3) &amp; LEFT($C963,3) &amp; RIGHT($C963,4)), "")</f>
        <v/>
      </c>
      <c r="Q963" s="35" t="str">
        <f t="array" ref="Q963">IF($R963&lt;&gt;"",IFERROR(INDEX(Investment!$A:$A,MATCH($R963,Investment!$H:$H,0))),)</f>
        <v/>
      </c>
      <c r="R963" s="36" t="str">
        <f t="array" ref="R963">IF(AND($Y963="change",$H963="EUR"),IF(AND($AA963="Crédit",$O963=$O964),$R964,IF(AND($AA963="Débit",$O963=$O962),$R962)),IF(OR(AND(OR($E963&lt;&gt;"",$M963=""),$N963&lt;&gt;0),$A963=""),IFERROR(INDEX(Investment!$H:$H,MATCH($E963,Investment!$F:$F,0))),IFERROR(INDEX($R964:$R1119,MATCH(SUBSTITUTE($I963,"-","",1),$K964:$K1119,0)),INDEX($R964:$R1119,MATCH($K963,$K964:$K1119,0)))))</f>
        <v/>
      </c>
      <c r="S963" s="35" t="str">
        <f t="shared" si="2"/>
        <v/>
      </c>
      <c r="T963" s="37" t="str">
        <f t="shared" si="3"/>
        <v/>
      </c>
      <c r="U963" s="38" t="str">
        <f t="shared" si="4"/>
        <v/>
      </c>
      <c r="V963" s="31" t="str">
        <f t="shared" si="5"/>
        <v/>
      </c>
      <c r="W963" s="39" t="str">
        <f>IFERROR(__xludf.DUMMYFUNCTION(" IF(Account!$F963&lt;&gt;"""", SPLIT(Account!$F963, "" ""), """")"),"")</f>
        <v/>
      </c>
      <c r="X963" s="40"/>
      <c r="Y963" s="40"/>
      <c r="Z963" s="40"/>
      <c r="AA963" s="40"/>
      <c r="AB963" s="40"/>
      <c r="AC963" s="40"/>
      <c r="AD963" s="40"/>
      <c r="AE963" s="40"/>
      <c r="AF963" s="40"/>
      <c r="AG963" s="40"/>
      <c r="AH963" s="40"/>
      <c r="AI963" s="40"/>
      <c r="AJ963" s="40"/>
      <c r="AK963" s="40"/>
    </row>
    <row r="964">
      <c r="A964" s="300"/>
      <c r="B964" s="300"/>
      <c r="C964" s="300"/>
      <c r="D964" s="300"/>
      <c r="E964" s="300"/>
      <c r="F964" s="329"/>
      <c r="G964" s="300"/>
      <c r="H964" s="300"/>
      <c r="I964" s="300"/>
      <c r="J964" s="300"/>
      <c r="K964" s="300"/>
      <c r="L964" s="329"/>
      <c r="M964" s="29" t="str">
        <f t="shared" si="1"/>
        <v/>
      </c>
      <c r="N964" s="31" t="str">
        <f>IFERROR(__xludf.DUMMYFUNCTION("IF(Account!$F964&lt;&gt;"""", VALUE(REGEXREPLACE($I964, ""\,"", ""."")), """")"),"")</f>
        <v/>
      </c>
      <c r="O964" s="33" t="str">
        <f>IF(Account!$F964&lt;&gt;"", DATEVALUE(MID($A964,4,3) &amp; LEFT($A964,3) &amp; RIGHT($A964,4)) + TIMEVALUE($B964), "")</f>
        <v/>
      </c>
      <c r="P964" s="34" t="str">
        <f>IF(Account!$F964&lt;&gt;"", DATEVALUE(MID($C964,4,3) &amp; LEFT($C964,3) &amp; RIGHT($C964,4)), "")</f>
        <v/>
      </c>
      <c r="Q964" s="35" t="str">
        <f t="array" ref="Q964">IF($R964&lt;&gt;"",IFERROR(INDEX(Investment!$A:$A,MATCH($R964,Investment!$H:$H,0))),)</f>
        <v/>
      </c>
      <c r="R964" s="36" t="str">
        <f t="array" ref="R964">IF(AND($Y964="change",$H964="EUR"),IF(AND($AA964="Crédit",$O964=$O965),$R965,IF(AND($AA964="Débit",$O964=$O963),$R963)),IF(OR(AND(OR($E964&lt;&gt;"",$M964=""),$N964&lt;&gt;0),$A964=""),IFERROR(INDEX(Investment!$H:$H,MATCH($E964,Investment!$F:$F,0))),IFERROR(INDEX($R965:$R1119,MATCH(SUBSTITUTE($I964,"-","",1),$K965:$K1119,0)),INDEX($R965:$R1119,MATCH($K964,$K965:$K1119,0)))))</f>
        <v/>
      </c>
      <c r="S964" s="35" t="str">
        <f t="shared" si="2"/>
        <v/>
      </c>
      <c r="T964" s="37" t="str">
        <f t="shared" si="3"/>
        <v/>
      </c>
      <c r="U964" s="38" t="str">
        <f t="shared" si="4"/>
        <v/>
      </c>
      <c r="V964" s="31" t="str">
        <f t="shared" si="5"/>
        <v/>
      </c>
      <c r="W964" s="39" t="str">
        <f>IFERROR(__xludf.DUMMYFUNCTION(" IF(Account!$F964&lt;&gt;"""", SPLIT(Account!$F964, "" ""), """")"),"")</f>
        <v/>
      </c>
      <c r="X964" s="40"/>
      <c r="Y964" s="40"/>
      <c r="Z964" s="40"/>
      <c r="AA964" s="40"/>
      <c r="AB964" s="40"/>
      <c r="AC964" s="40"/>
      <c r="AD964" s="40"/>
      <c r="AE964" s="40"/>
      <c r="AF964" s="40"/>
      <c r="AG964" s="40"/>
      <c r="AH964" s="40"/>
      <c r="AI964" s="40"/>
      <c r="AJ964" s="40"/>
      <c r="AK964" s="40"/>
    </row>
    <row r="965">
      <c r="A965" s="300"/>
      <c r="B965" s="300"/>
      <c r="C965" s="300"/>
      <c r="D965" s="300"/>
      <c r="E965" s="300"/>
      <c r="F965" s="329"/>
      <c r="G965" s="300"/>
      <c r="H965" s="300"/>
      <c r="I965" s="300"/>
      <c r="J965" s="300"/>
      <c r="K965" s="300"/>
      <c r="L965" s="329"/>
      <c r="M965" s="29" t="str">
        <f t="shared" si="1"/>
        <v/>
      </c>
      <c r="N965" s="31" t="str">
        <f>IFERROR(__xludf.DUMMYFUNCTION("IF(Account!$F965&lt;&gt;"""", VALUE(REGEXREPLACE($I965, ""\,"", ""."")), """")"),"")</f>
        <v/>
      </c>
      <c r="O965" s="33" t="str">
        <f>IF(Account!$F965&lt;&gt;"", DATEVALUE(MID($A965,4,3) &amp; LEFT($A965,3) &amp; RIGHT($A965,4)) + TIMEVALUE($B965), "")</f>
        <v/>
      </c>
      <c r="P965" s="34" t="str">
        <f>IF(Account!$F965&lt;&gt;"", DATEVALUE(MID($C965,4,3) &amp; LEFT($C965,3) &amp; RIGHT($C965,4)), "")</f>
        <v/>
      </c>
      <c r="Q965" s="35" t="str">
        <f t="array" ref="Q965">IF($R965&lt;&gt;"",IFERROR(INDEX(Investment!$A:$A,MATCH($R965,Investment!$H:$H,0))),)</f>
        <v/>
      </c>
      <c r="R965" s="36" t="str">
        <f t="array" ref="R965">IF(AND($Y965="change",$H965="EUR"),IF(AND($AA965="Crédit",$O965=$O966),$R966,IF(AND($AA965="Débit",$O965=$O964),$R964)),IF(OR(AND(OR($E965&lt;&gt;"",$M965=""),$N965&lt;&gt;0),$A965=""),IFERROR(INDEX(Investment!$H:$H,MATCH($E965,Investment!$F:$F,0))),IFERROR(INDEX($R966:$R1119,MATCH(SUBSTITUTE($I965,"-","",1),$K966:$K1119,0)),INDEX($R966:$R1119,MATCH($K965,$K966:$K1119,0)))))</f>
        <v/>
      </c>
      <c r="S965" s="35" t="str">
        <f t="shared" si="2"/>
        <v/>
      </c>
      <c r="T965" s="37" t="str">
        <f t="shared" si="3"/>
        <v/>
      </c>
      <c r="U965" s="38" t="str">
        <f t="shared" si="4"/>
        <v/>
      </c>
      <c r="V965" s="31" t="str">
        <f t="shared" si="5"/>
        <v/>
      </c>
      <c r="W965" s="39" t="str">
        <f>IFERROR(__xludf.DUMMYFUNCTION(" IF(Account!$F965&lt;&gt;"""", SPLIT(Account!$F965, "" ""), """")"),"")</f>
        <v/>
      </c>
      <c r="X965" s="40"/>
      <c r="Y965" s="40"/>
      <c r="Z965" s="40"/>
      <c r="AA965" s="40"/>
      <c r="AB965" s="40"/>
      <c r="AC965" s="40"/>
      <c r="AD965" s="40"/>
      <c r="AE965" s="40"/>
      <c r="AF965" s="40"/>
      <c r="AG965" s="40"/>
      <c r="AH965" s="40"/>
      <c r="AI965" s="40"/>
      <c r="AJ965" s="40"/>
      <c r="AK965" s="40"/>
    </row>
    <row r="966">
      <c r="A966" s="300"/>
      <c r="B966" s="300"/>
      <c r="C966" s="300"/>
      <c r="D966" s="300"/>
      <c r="E966" s="300"/>
      <c r="F966" s="329"/>
      <c r="G966" s="300"/>
      <c r="H966" s="300"/>
      <c r="I966" s="300"/>
      <c r="J966" s="300"/>
      <c r="K966" s="300"/>
      <c r="L966" s="329"/>
      <c r="M966" s="29" t="str">
        <f t="shared" si="1"/>
        <v/>
      </c>
      <c r="N966" s="31" t="str">
        <f>IFERROR(__xludf.DUMMYFUNCTION("IF(Account!$F966&lt;&gt;"""", VALUE(REGEXREPLACE($I966, ""\,"", ""."")), """")"),"")</f>
        <v/>
      </c>
      <c r="O966" s="33" t="str">
        <f>IF(Account!$F966&lt;&gt;"", DATEVALUE(MID($A966,4,3) &amp; LEFT($A966,3) &amp; RIGHT($A966,4)) + TIMEVALUE($B966), "")</f>
        <v/>
      </c>
      <c r="P966" s="34" t="str">
        <f>IF(Account!$F966&lt;&gt;"", DATEVALUE(MID($C966,4,3) &amp; LEFT($C966,3) &amp; RIGHT($C966,4)), "")</f>
        <v/>
      </c>
      <c r="Q966" s="35" t="str">
        <f t="array" ref="Q966">IF($R966&lt;&gt;"",IFERROR(INDEX(Investment!$A:$A,MATCH($R966,Investment!$H:$H,0))),)</f>
        <v/>
      </c>
      <c r="R966" s="36" t="str">
        <f t="array" ref="R966">IF(AND($Y966="change",$H966="EUR"),IF(AND($AA966="Crédit",$O966=$O967),$R967,IF(AND($AA966="Débit",$O966=$O965),$R965)),IF(OR(AND(OR($E966&lt;&gt;"",$M966=""),$N966&lt;&gt;0),$A966=""),IFERROR(INDEX(Investment!$H:$H,MATCH($E966,Investment!$F:$F,0))),IFERROR(INDEX($R967:$R1119,MATCH(SUBSTITUTE($I966,"-","",1),$K967:$K1119,0)),INDEX($R967:$R1119,MATCH($K966,$K967:$K1119,0)))))</f>
        <v/>
      </c>
      <c r="S966" s="35" t="str">
        <f t="shared" si="2"/>
        <v/>
      </c>
      <c r="T966" s="37" t="str">
        <f t="shared" si="3"/>
        <v/>
      </c>
      <c r="U966" s="38" t="str">
        <f t="shared" si="4"/>
        <v/>
      </c>
      <c r="V966" s="31" t="str">
        <f t="shared" si="5"/>
        <v/>
      </c>
      <c r="W966" s="39" t="str">
        <f>IFERROR(__xludf.DUMMYFUNCTION(" IF(Account!$F966&lt;&gt;"""", SPLIT(Account!$F966, "" ""), """")"),"")</f>
        <v/>
      </c>
      <c r="X966" s="40"/>
      <c r="Y966" s="40"/>
      <c r="Z966" s="40"/>
      <c r="AA966" s="40"/>
      <c r="AB966" s="40"/>
      <c r="AC966" s="40"/>
      <c r="AD966" s="40"/>
      <c r="AE966" s="40"/>
      <c r="AF966" s="40"/>
      <c r="AG966" s="40"/>
      <c r="AH966" s="40"/>
      <c r="AI966" s="40"/>
      <c r="AJ966" s="40"/>
      <c r="AK966" s="40"/>
    </row>
    <row r="967">
      <c r="A967" s="300"/>
      <c r="B967" s="300"/>
      <c r="C967" s="300"/>
      <c r="D967" s="300"/>
      <c r="E967" s="300"/>
      <c r="F967" s="329"/>
      <c r="G967" s="300"/>
      <c r="H967" s="300"/>
      <c r="I967" s="300"/>
      <c r="J967" s="300"/>
      <c r="K967" s="300"/>
      <c r="L967" s="329"/>
      <c r="M967" s="29" t="str">
        <f t="shared" si="1"/>
        <v/>
      </c>
      <c r="N967" s="31" t="str">
        <f>IFERROR(__xludf.DUMMYFUNCTION("IF(Account!$F967&lt;&gt;"""", VALUE(REGEXREPLACE($I967, ""\,"", ""."")), """")"),"")</f>
        <v/>
      </c>
      <c r="O967" s="33" t="str">
        <f>IF(Account!$F967&lt;&gt;"", DATEVALUE(MID($A967,4,3) &amp; LEFT($A967,3) &amp; RIGHT($A967,4)) + TIMEVALUE($B967), "")</f>
        <v/>
      </c>
      <c r="P967" s="34" t="str">
        <f>IF(Account!$F967&lt;&gt;"", DATEVALUE(MID($C967,4,3) &amp; LEFT($C967,3) &amp; RIGHT($C967,4)), "")</f>
        <v/>
      </c>
      <c r="Q967" s="35" t="str">
        <f t="array" ref="Q967">IF($R967&lt;&gt;"",IFERROR(INDEX(Investment!$A:$A,MATCH($R967,Investment!$H:$H,0))),)</f>
        <v/>
      </c>
      <c r="R967" s="36" t="str">
        <f t="array" ref="R967">IF(AND($Y967="change",$H967="EUR"),IF(AND($AA967="Crédit",$O967=$O968),$R968,IF(AND($AA967="Débit",$O967=$O966),$R966)),IF(OR(AND(OR($E967&lt;&gt;"",$M967=""),$N967&lt;&gt;0),$A967=""),IFERROR(INDEX(Investment!$H:$H,MATCH($E967,Investment!$F:$F,0))),IFERROR(INDEX($R968:$R1119,MATCH(SUBSTITUTE($I967,"-","",1),$K968:$K1119,0)),INDEX($R968:$R1119,MATCH($K967,$K968:$K1119,0)))))</f>
        <v/>
      </c>
      <c r="S967" s="35" t="str">
        <f t="shared" si="2"/>
        <v/>
      </c>
      <c r="T967" s="37" t="str">
        <f t="shared" si="3"/>
        <v/>
      </c>
      <c r="U967" s="38" t="str">
        <f t="shared" si="4"/>
        <v/>
      </c>
      <c r="V967" s="31" t="str">
        <f t="shared" si="5"/>
        <v/>
      </c>
      <c r="W967" s="39" t="str">
        <f>IFERROR(__xludf.DUMMYFUNCTION(" IF(Account!$F967&lt;&gt;"""", SPLIT(Account!$F967, "" ""), """")"),"")</f>
        <v/>
      </c>
      <c r="X967" s="40"/>
      <c r="Y967" s="40"/>
      <c r="Z967" s="40"/>
      <c r="AA967" s="40"/>
      <c r="AB967" s="40"/>
      <c r="AC967" s="40"/>
      <c r="AD967" s="40"/>
      <c r="AE967" s="40"/>
      <c r="AF967" s="40"/>
      <c r="AG967" s="40"/>
      <c r="AH967" s="40"/>
      <c r="AI967" s="40"/>
      <c r="AJ967" s="40"/>
      <c r="AK967" s="40"/>
    </row>
    <row r="968">
      <c r="A968" s="300"/>
      <c r="B968" s="300"/>
      <c r="C968" s="300"/>
      <c r="D968" s="300"/>
      <c r="E968" s="300"/>
      <c r="F968" s="329"/>
      <c r="G968" s="300"/>
      <c r="H968" s="300"/>
      <c r="I968" s="300"/>
      <c r="J968" s="300"/>
      <c r="K968" s="300"/>
      <c r="L968" s="329"/>
      <c r="M968" s="29" t="str">
        <f t="shared" si="1"/>
        <v/>
      </c>
      <c r="N968" s="31" t="str">
        <f>IFERROR(__xludf.DUMMYFUNCTION("IF(Account!$F968&lt;&gt;"""", VALUE(REGEXREPLACE($I968, ""\,"", ""."")), """")"),"")</f>
        <v/>
      </c>
      <c r="O968" s="33" t="str">
        <f>IF(Account!$F968&lt;&gt;"", DATEVALUE(MID($A968,4,3) &amp; LEFT($A968,3) &amp; RIGHT($A968,4)) + TIMEVALUE($B968), "")</f>
        <v/>
      </c>
      <c r="P968" s="34" t="str">
        <f>IF(Account!$F968&lt;&gt;"", DATEVALUE(MID($C968,4,3) &amp; LEFT($C968,3) &amp; RIGHT($C968,4)), "")</f>
        <v/>
      </c>
      <c r="Q968" s="35" t="str">
        <f t="array" ref="Q968">IF($R968&lt;&gt;"",IFERROR(INDEX(Investment!$A:$A,MATCH($R968,Investment!$H:$H,0))),)</f>
        <v/>
      </c>
      <c r="R968" s="36" t="str">
        <f t="array" ref="R968">IF(AND($Y968="change",$H968="EUR"),IF(AND($AA968="Crédit",$O968=$O969),$R969,IF(AND($AA968="Débit",$O968=$O967),$R967)),IF(OR(AND(OR($E968&lt;&gt;"",$M968=""),$N968&lt;&gt;0),$A968=""),IFERROR(INDEX(Investment!$H:$H,MATCH($E968,Investment!$F:$F,0))),IFERROR(INDEX($R969:$R1119,MATCH(SUBSTITUTE($I968,"-","",1),$K969:$K1119,0)),INDEX($R969:$R1119,MATCH($K968,$K969:$K1119,0)))))</f>
        <v/>
      </c>
      <c r="S968" s="35" t="str">
        <f t="shared" si="2"/>
        <v/>
      </c>
      <c r="T968" s="37" t="str">
        <f t="shared" si="3"/>
        <v/>
      </c>
      <c r="U968" s="38" t="str">
        <f t="shared" si="4"/>
        <v/>
      </c>
      <c r="V968" s="31" t="str">
        <f t="shared" si="5"/>
        <v/>
      </c>
      <c r="W968" s="39" t="str">
        <f>IFERROR(__xludf.DUMMYFUNCTION(" IF(Account!$F968&lt;&gt;"""", SPLIT(Account!$F968, "" ""), """")"),"")</f>
        <v/>
      </c>
      <c r="X968" s="40"/>
      <c r="Y968" s="40"/>
      <c r="Z968" s="40"/>
      <c r="AA968" s="40"/>
      <c r="AB968" s="40"/>
      <c r="AC968" s="40"/>
      <c r="AD968" s="40"/>
      <c r="AE968" s="40"/>
      <c r="AF968" s="40"/>
      <c r="AG968" s="40"/>
      <c r="AH968" s="40"/>
      <c r="AI968" s="40"/>
      <c r="AJ968" s="40"/>
      <c r="AK968" s="40"/>
    </row>
    <row r="969">
      <c r="A969" s="300"/>
      <c r="B969" s="300"/>
      <c r="C969" s="300"/>
      <c r="D969" s="300"/>
      <c r="E969" s="300"/>
      <c r="F969" s="329"/>
      <c r="G969" s="300"/>
      <c r="H969" s="300"/>
      <c r="I969" s="300"/>
      <c r="J969" s="300"/>
      <c r="K969" s="300"/>
      <c r="L969" s="329"/>
      <c r="M969" s="29" t="str">
        <f t="shared" si="1"/>
        <v/>
      </c>
      <c r="N969" s="31" t="str">
        <f>IFERROR(__xludf.DUMMYFUNCTION("IF(Account!$F969&lt;&gt;"""", VALUE(REGEXREPLACE($I969, ""\,"", ""."")), """")"),"")</f>
        <v/>
      </c>
      <c r="O969" s="33" t="str">
        <f>IF(Account!$F969&lt;&gt;"", DATEVALUE(MID($A969,4,3) &amp; LEFT($A969,3) &amp; RIGHT($A969,4)) + TIMEVALUE($B969), "")</f>
        <v/>
      </c>
      <c r="P969" s="34" t="str">
        <f>IF(Account!$F969&lt;&gt;"", DATEVALUE(MID($C969,4,3) &amp; LEFT($C969,3) &amp; RIGHT($C969,4)), "")</f>
        <v/>
      </c>
      <c r="Q969" s="35" t="str">
        <f t="array" ref="Q969">IF($R969&lt;&gt;"",IFERROR(INDEX(Investment!$A:$A,MATCH($R969,Investment!$H:$H,0))),)</f>
        <v/>
      </c>
      <c r="R969" s="36" t="str">
        <f t="array" ref="R969">IF(AND($Y969="change",$H969="EUR"),IF(AND($AA969="Crédit",$O969=$O970),$R970,IF(AND($AA969="Débit",$O969=$O968),$R968)),IF(OR(AND(OR($E969&lt;&gt;"",$M969=""),$N969&lt;&gt;0),$A969=""),IFERROR(INDEX(Investment!$H:$H,MATCH($E969,Investment!$F:$F,0))),IFERROR(INDEX($R970:$R1119,MATCH(SUBSTITUTE($I969,"-","",1),$K970:$K1119,0)),INDEX($R970:$R1119,MATCH($K969,$K970:$K1119,0)))))</f>
        <v/>
      </c>
      <c r="S969" s="35" t="str">
        <f t="shared" si="2"/>
        <v/>
      </c>
      <c r="T969" s="37" t="str">
        <f t="shared" si="3"/>
        <v/>
      </c>
      <c r="U969" s="38" t="str">
        <f t="shared" si="4"/>
        <v/>
      </c>
      <c r="V969" s="31" t="str">
        <f t="shared" si="5"/>
        <v/>
      </c>
      <c r="W969" s="39" t="str">
        <f>IFERROR(__xludf.DUMMYFUNCTION(" IF(Account!$F969&lt;&gt;"""", SPLIT(Account!$F969, "" ""), """")"),"")</f>
        <v/>
      </c>
      <c r="X969" s="40"/>
      <c r="Y969" s="40"/>
      <c r="Z969" s="40"/>
      <c r="AA969" s="40"/>
      <c r="AB969" s="40"/>
      <c r="AC969" s="40"/>
      <c r="AD969" s="40"/>
      <c r="AE969" s="40"/>
      <c r="AF969" s="40"/>
      <c r="AG969" s="40"/>
      <c r="AH969" s="40"/>
      <c r="AI969" s="40"/>
      <c r="AJ969" s="40"/>
      <c r="AK969" s="40"/>
    </row>
    <row r="970">
      <c r="A970" s="300"/>
      <c r="B970" s="300"/>
      <c r="C970" s="300"/>
      <c r="D970" s="300"/>
      <c r="E970" s="300"/>
      <c r="F970" s="329"/>
      <c r="G970" s="300"/>
      <c r="H970" s="300"/>
      <c r="I970" s="300"/>
      <c r="J970" s="300"/>
      <c r="K970" s="300"/>
      <c r="L970" s="329"/>
      <c r="M970" s="29" t="str">
        <f t="shared" si="1"/>
        <v/>
      </c>
      <c r="N970" s="31" t="str">
        <f>IFERROR(__xludf.DUMMYFUNCTION("IF(Account!$F970&lt;&gt;"""", VALUE(REGEXREPLACE($I970, ""\,"", ""."")), """")"),"")</f>
        <v/>
      </c>
      <c r="O970" s="33" t="str">
        <f>IF(Account!$F970&lt;&gt;"", DATEVALUE(MID($A970,4,3) &amp; LEFT($A970,3) &amp; RIGHT($A970,4)) + TIMEVALUE($B970), "")</f>
        <v/>
      </c>
      <c r="P970" s="34" t="str">
        <f>IF(Account!$F970&lt;&gt;"", DATEVALUE(MID($C970,4,3) &amp; LEFT($C970,3) &amp; RIGHT($C970,4)), "")</f>
        <v/>
      </c>
      <c r="Q970" s="35" t="str">
        <f t="array" ref="Q970">IF($R970&lt;&gt;"",IFERROR(INDEX(Investment!$A:$A,MATCH($R970,Investment!$H:$H,0))),)</f>
        <v/>
      </c>
      <c r="R970" s="36" t="str">
        <f t="array" ref="R970">IF(AND($Y970="change",$H970="EUR"),IF(AND($AA970="Crédit",$O970=$O971),$R971,IF(AND($AA970="Débit",$O970=$O969),$R969)),IF(OR(AND(OR($E970&lt;&gt;"",$M970=""),$N970&lt;&gt;0),$A970=""),IFERROR(INDEX(Investment!$H:$H,MATCH($E970,Investment!$F:$F,0))),IFERROR(INDEX($R971:$R1119,MATCH(SUBSTITUTE($I970,"-","",1),$K971:$K1119,0)),INDEX($R971:$R1119,MATCH($K970,$K971:$K1119,0)))))</f>
        <v/>
      </c>
      <c r="S970" s="35" t="str">
        <f t="shared" si="2"/>
        <v/>
      </c>
      <c r="T970" s="37" t="str">
        <f t="shared" si="3"/>
        <v/>
      </c>
      <c r="U970" s="38" t="str">
        <f t="shared" si="4"/>
        <v/>
      </c>
      <c r="V970" s="31" t="str">
        <f t="shared" si="5"/>
        <v/>
      </c>
      <c r="W970" s="39" t="str">
        <f>IFERROR(__xludf.DUMMYFUNCTION(" IF(Account!$F970&lt;&gt;"""", SPLIT(Account!$F970, "" ""), """")"),"")</f>
        <v/>
      </c>
      <c r="X970" s="40"/>
      <c r="Y970" s="40"/>
      <c r="Z970" s="40"/>
      <c r="AA970" s="40"/>
      <c r="AB970" s="40"/>
      <c r="AC970" s="40"/>
      <c r="AD970" s="40"/>
      <c r="AE970" s="40"/>
      <c r="AF970" s="40"/>
      <c r="AG970" s="40"/>
      <c r="AH970" s="40"/>
      <c r="AI970" s="40"/>
      <c r="AJ970" s="40"/>
      <c r="AK970" s="40"/>
    </row>
    <row r="971">
      <c r="A971" s="300"/>
      <c r="B971" s="300"/>
      <c r="C971" s="300"/>
      <c r="D971" s="300"/>
      <c r="E971" s="300"/>
      <c r="F971" s="329"/>
      <c r="G971" s="300"/>
      <c r="H971" s="300"/>
      <c r="I971" s="300"/>
      <c r="J971" s="300"/>
      <c r="K971" s="300"/>
      <c r="L971" s="329"/>
      <c r="M971" s="29" t="str">
        <f t="shared" si="1"/>
        <v/>
      </c>
      <c r="N971" s="31" t="str">
        <f>IFERROR(__xludf.DUMMYFUNCTION("IF(Account!$F971&lt;&gt;"""", VALUE(REGEXREPLACE($I971, ""\,"", ""."")), """")"),"")</f>
        <v/>
      </c>
      <c r="O971" s="33" t="str">
        <f>IF(Account!$F971&lt;&gt;"", DATEVALUE(MID($A971,4,3) &amp; LEFT($A971,3) &amp; RIGHT($A971,4)) + TIMEVALUE($B971), "")</f>
        <v/>
      </c>
      <c r="P971" s="34" t="str">
        <f>IF(Account!$F971&lt;&gt;"", DATEVALUE(MID($C971,4,3) &amp; LEFT($C971,3) &amp; RIGHT($C971,4)), "")</f>
        <v/>
      </c>
      <c r="Q971" s="35" t="str">
        <f t="array" ref="Q971">IF($R971&lt;&gt;"",IFERROR(INDEX(Investment!$A:$A,MATCH($R971,Investment!$H:$H,0))),)</f>
        <v/>
      </c>
      <c r="R971" s="36" t="str">
        <f t="array" ref="R971">IF(AND($Y971="change",$H971="EUR"),IF(AND($AA971="Crédit",$O971=$O972),$R972,IF(AND($AA971="Débit",$O971=$O970),$R970)),IF(OR(AND(OR($E971&lt;&gt;"",$M971=""),$N971&lt;&gt;0),$A971=""),IFERROR(INDEX(Investment!$H:$H,MATCH($E971,Investment!$F:$F,0))),IFERROR(INDEX($R972:$R1119,MATCH(SUBSTITUTE($I971,"-","",1),$K972:$K1119,0)),INDEX($R972:$R1119,MATCH($K971,$K972:$K1119,0)))))</f>
        <v/>
      </c>
      <c r="S971" s="35" t="str">
        <f t="shared" si="2"/>
        <v/>
      </c>
      <c r="T971" s="37" t="str">
        <f t="shared" si="3"/>
        <v/>
      </c>
      <c r="U971" s="38" t="str">
        <f t="shared" si="4"/>
        <v/>
      </c>
      <c r="V971" s="31" t="str">
        <f t="shared" si="5"/>
        <v/>
      </c>
      <c r="W971" s="39" t="str">
        <f>IFERROR(__xludf.DUMMYFUNCTION(" IF(Account!$F971&lt;&gt;"""", SPLIT(Account!$F971, "" ""), """")"),"")</f>
        <v/>
      </c>
      <c r="X971" s="40"/>
      <c r="Y971" s="40"/>
      <c r="Z971" s="40"/>
      <c r="AA971" s="40"/>
      <c r="AB971" s="40"/>
      <c r="AC971" s="40"/>
      <c r="AD971" s="40"/>
      <c r="AE971" s="40"/>
      <c r="AF971" s="40"/>
      <c r="AG971" s="40"/>
      <c r="AH971" s="40"/>
      <c r="AI971" s="40"/>
      <c r="AJ971" s="40"/>
      <c r="AK971" s="40"/>
    </row>
    <row r="972">
      <c r="A972" s="300"/>
      <c r="B972" s="300"/>
      <c r="C972" s="300"/>
      <c r="D972" s="300"/>
      <c r="E972" s="300"/>
      <c r="F972" s="329"/>
      <c r="G972" s="300"/>
      <c r="H972" s="300"/>
      <c r="I972" s="300"/>
      <c r="J972" s="300"/>
      <c r="K972" s="300"/>
      <c r="L972" s="329"/>
      <c r="M972" s="29" t="str">
        <f t="shared" si="1"/>
        <v/>
      </c>
      <c r="N972" s="31" t="str">
        <f>IFERROR(__xludf.DUMMYFUNCTION("IF(Account!$F972&lt;&gt;"""", VALUE(REGEXREPLACE($I972, ""\,"", ""."")), """")"),"")</f>
        <v/>
      </c>
      <c r="O972" s="33" t="str">
        <f>IF(Account!$F972&lt;&gt;"", DATEVALUE(MID($A972,4,3) &amp; LEFT($A972,3) &amp; RIGHT($A972,4)) + TIMEVALUE($B972), "")</f>
        <v/>
      </c>
      <c r="P972" s="34" t="str">
        <f>IF(Account!$F972&lt;&gt;"", DATEVALUE(MID($C972,4,3) &amp; LEFT($C972,3) &amp; RIGHT($C972,4)), "")</f>
        <v/>
      </c>
      <c r="Q972" s="35" t="str">
        <f t="array" ref="Q972">IF($R972&lt;&gt;"",IFERROR(INDEX(Investment!$A:$A,MATCH($R972,Investment!$H:$H,0))),)</f>
        <v/>
      </c>
      <c r="R972" s="36" t="str">
        <f t="array" ref="R972">IF(AND($Y972="change",$H972="EUR"),IF(AND($AA972="Crédit",$O972=$O973),$R973,IF(AND($AA972="Débit",$O972=$O971),$R971)),IF(OR(AND(OR($E972&lt;&gt;"",$M972=""),$N972&lt;&gt;0),$A972=""),IFERROR(INDEX(Investment!$H:$H,MATCH($E972,Investment!$F:$F,0))),IFERROR(INDEX($R973:$R1119,MATCH(SUBSTITUTE($I972,"-","",1),$K973:$K1119,0)),INDEX($R973:$R1119,MATCH($K972,$K973:$K1119,0)))))</f>
        <v/>
      </c>
      <c r="S972" s="35" t="str">
        <f t="shared" si="2"/>
        <v/>
      </c>
      <c r="T972" s="37" t="str">
        <f t="shared" si="3"/>
        <v/>
      </c>
      <c r="U972" s="38" t="str">
        <f t="shared" si="4"/>
        <v/>
      </c>
      <c r="V972" s="31" t="str">
        <f t="shared" si="5"/>
        <v/>
      </c>
      <c r="W972" s="39" t="str">
        <f>IFERROR(__xludf.DUMMYFUNCTION(" IF(Account!$F972&lt;&gt;"""", SPLIT(Account!$F972, "" ""), """")"),"")</f>
        <v/>
      </c>
      <c r="X972" s="40"/>
      <c r="Y972" s="40"/>
      <c r="Z972" s="40"/>
      <c r="AA972" s="40"/>
      <c r="AB972" s="40"/>
      <c r="AC972" s="40"/>
      <c r="AD972" s="40"/>
      <c r="AE972" s="40"/>
      <c r="AF972" s="40"/>
      <c r="AG972" s="40"/>
      <c r="AH972" s="40"/>
      <c r="AI972" s="40"/>
      <c r="AJ972" s="40"/>
      <c r="AK972" s="40"/>
    </row>
    <row r="973">
      <c r="A973" s="300"/>
      <c r="B973" s="300"/>
      <c r="C973" s="300"/>
      <c r="D973" s="300"/>
      <c r="E973" s="300"/>
      <c r="F973" s="329"/>
      <c r="G973" s="300"/>
      <c r="H973" s="300"/>
      <c r="I973" s="300"/>
      <c r="J973" s="300"/>
      <c r="K973" s="300"/>
      <c r="L973" s="329"/>
      <c r="M973" s="29" t="str">
        <f t="shared" si="1"/>
        <v/>
      </c>
      <c r="N973" s="31" t="str">
        <f>IFERROR(__xludf.DUMMYFUNCTION("IF(Account!$F973&lt;&gt;"""", VALUE(REGEXREPLACE($I973, ""\,"", ""."")), """")"),"")</f>
        <v/>
      </c>
      <c r="O973" s="33" t="str">
        <f>IF(Account!$F973&lt;&gt;"", DATEVALUE(MID($A973,4,3) &amp; LEFT($A973,3) &amp; RIGHT($A973,4)) + TIMEVALUE($B973), "")</f>
        <v/>
      </c>
      <c r="P973" s="34" t="str">
        <f>IF(Account!$F973&lt;&gt;"", DATEVALUE(MID($C973,4,3) &amp; LEFT($C973,3) &amp; RIGHT($C973,4)), "")</f>
        <v/>
      </c>
      <c r="Q973" s="35" t="str">
        <f t="array" ref="Q973">IF($R973&lt;&gt;"",IFERROR(INDEX(Investment!$A:$A,MATCH($R973,Investment!$H:$H,0))),)</f>
        <v/>
      </c>
      <c r="R973" s="36" t="str">
        <f t="array" ref="R973">IF(AND($Y973="change",$H973="EUR"),IF(AND($AA973="Crédit",$O973=$O974),$R974,IF(AND($AA973="Débit",$O973=$O972),$R972)),IF(OR(AND(OR($E973&lt;&gt;"",$M973=""),$N973&lt;&gt;0),$A973=""),IFERROR(INDEX(Investment!$H:$H,MATCH($E973,Investment!$F:$F,0))),IFERROR(INDEX($R974:$R1119,MATCH(SUBSTITUTE($I973,"-","",1),$K974:$K1119,0)),INDEX($R974:$R1119,MATCH($K973,$K974:$K1119,0)))))</f>
        <v/>
      </c>
      <c r="S973" s="35" t="str">
        <f t="shared" si="2"/>
        <v/>
      </c>
      <c r="T973" s="37" t="str">
        <f t="shared" si="3"/>
        <v/>
      </c>
      <c r="U973" s="38" t="str">
        <f t="shared" si="4"/>
        <v/>
      </c>
      <c r="V973" s="31" t="str">
        <f t="shared" si="5"/>
        <v/>
      </c>
      <c r="W973" s="39" t="str">
        <f>IFERROR(__xludf.DUMMYFUNCTION(" IF(Account!$F973&lt;&gt;"""", SPLIT(Account!$F973, "" ""), """")"),"")</f>
        <v/>
      </c>
      <c r="X973" s="40"/>
      <c r="Y973" s="40"/>
      <c r="Z973" s="40"/>
      <c r="AA973" s="40"/>
      <c r="AB973" s="40"/>
      <c r="AC973" s="40"/>
      <c r="AD973" s="40"/>
      <c r="AE973" s="40"/>
      <c r="AF973" s="40"/>
      <c r="AG973" s="40"/>
      <c r="AH973" s="40"/>
      <c r="AI973" s="40"/>
      <c r="AJ973" s="40"/>
      <c r="AK973" s="40"/>
    </row>
    <row r="974">
      <c r="A974" s="300"/>
      <c r="B974" s="300"/>
      <c r="C974" s="300"/>
      <c r="D974" s="300"/>
      <c r="E974" s="300"/>
      <c r="F974" s="329"/>
      <c r="G974" s="300"/>
      <c r="H974" s="300"/>
      <c r="I974" s="300"/>
      <c r="J974" s="300"/>
      <c r="K974" s="300"/>
      <c r="L974" s="329"/>
      <c r="M974" s="29" t="str">
        <f t="shared" si="1"/>
        <v/>
      </c>
      <c r="N974" s="31" t="str">
        <f>IFERROR(__xludf.DUMMYFUNCTION("IF(Account!$F974&lt;&gt;"""", VALUE(REGEXREPLACE($I974, ""\,"", ""."")), """")"),"")</f>
        <v/>
      </c>
      <c r="O974" s="33" t="str">
        <f>IF(Account!$F974&lt;&gt;"", DATEVALUE(MID($A974,4,3) &amp; LEFT($A974,3) &amp; RIGHT($A974,4)) + TIMEVALUE($B974), "")</f>
        <v/>
      </c>
      <c r="P974" s="34" t="str">
        <f>IF(Account!$F974&lt;&gt;"", DATEVALUE(MID($C974,4,3) &amp; LEFT($C974,3) &amp; RIGHT($C974,4)), "")</f>
        <v/>
      </c>
      <c r="Q974" s="35" t="str">
        <f t="array" ref="Q974">IF($R974&lt;&gt;"",IFERROR(INDEX(Investment!$A:$A,MATCH($R974,Investment!$H:$H,0))),)</f>
        <v/>
      </c>
      <c r="R974" s="36" t="str">
        <f t="array" ref="R974">IF(AND($Y974="change",$H974="EUR"),IF(AND($AA974="Crédit",$O974=$O975),$R975,IF(AND($AA974="Débit",$O974=$O973),$R973)),IF(OR(AND(OR($E974&lt;&gt;"",$M974=""),$N974&lt;&gt;0),$A974=""),IFERROR(INDEX(Investment!$H:$H,MATCH($E974,Investment!$F:$F,0))),IFERROR(INDEX($R975:$R1119,MATCH(SUBSTITUTE($I974,"-","",1),$K975:$K1119,0)),INDEX($R975:$R1119,MATCH($K974,$K975:$K1119,0)))))</f>
        <v/>
      </c>
      <c r="S974" s="35" t="str">
        <f t="shared" si="2"/>
        <v/>
      </c>
      <c r="T974" s="37" t="str">
        <f t="shared" si="3"/>
        <v/>
      </c>
      <c r="U974" s="38" t="str">
        <f t="shared" si="4"/>
        <v/>
      </c>
      <c r="V974" s="31" t="str">
        <f t="shared" si="5"/>
        <v/>
      </c>
      <c r="W974" s="39" t="str">
        <f>IFERROR(__xludf.DUMMYFUNCTION(" IF(Account!$F974&lt;&gt;"""", SPLIT(Account!$F974, "" ""), """")"),"")</f>
        <v/>
      </c>
      <c r="X974" s="40"/>
      <c r="Y974" s="40"/>
      <c r="Z974" s="40"/>
      <c r="AA974" s="40"/>
      <c r="AB974" s="40"/>
      <c r="AC974" s="40"/>
      <c r="AD974" s="40"/>
      <c r="AE974" s="40"/>
      <c r="AF974" s="40"/>
      <c r="AG974" s="40"/>
      <c r="AH974" s="40"/>
      <c r="AI974" s="40"/>
      <c r="AJ974" s="40"/>
      <c r="AK974" s="40"/>
    </row>
    <row r="975">
      <c r="A975" s="300"/>
      <c r="B975" s="300"/>
      <c r="C975" s="300"/>
      <c r="D975" s="300"/>
      <c r="E975" s="300"/>
      <c r="F975" s="329"/>
      <c r="G975" s="300"/>
      <c r="H975" s="300"/>
      <c r="I975" s="300"/>
      <c r="J975" s="300"/>
      <c r="K975" s="300"/>
      <c r="L975" s="329"/>
      <c r="M975" s="29" t="str">
        <f t="shared" si="1"/>
        <v/>
      </c>
      <c r="N975" s="31" t="str">
        <f>IFERROR(__xludf.DUMMYFUNCTION("IF(Account!$F975&lt;&gt;"""", VALUE(REGEXREPLACE($I975, ""\,"", ""."")), """")"),"")</f>
        <v/>
      </c>
      <c r="O975" s="33" t="str">
        <f>IF(Account!$F975&lt;&gt;"", DATEVALUE(MID($A975,4,3) &amp; LEFT($A975,3) &amp; RIGHT($A975,4)) + TIMEVALUE($B975), "")</f>
        <v/>
      </c>
      <c r="P975" s="34" t="str">
        <f>IF(Account!$F975&lt;&gt;"", DATEVALUE(MID($C975,4,3) &amp; LEFT($C975,3) &amp; RIGHT($C975,4)), "")</f>
        <v/>
      </c>
      <c r="Q975" s="35" t="str">
        <f t="array" ref="Q975">IF($R975&lt;&gt;"",IFERROR(INDEX(Investment!$A:$A,MATCH($R975,Investment!$H:$H,0))),)</f>
        <v/>
      </c>
      <c r="R975" s="36" t="str">
        <f t="array" ref="R975">IF(AND($Y975="change",$H975="EUR"),IF(AND($AA975="Crédit",$O975=$O976),$R976,IF(AND($AA975="Débit",$O975=$O974),$R974)),IF(OR(AND(OR($E975&lt;&gt;"",$M975=""),$N975&lt;&gt;0),$A975=""),IFERROR(INDEX(Investment!$H:$H,MATCH($E975,Investment!$F:$F,0))),IFERROR(INDEX($R976:$R1119,MATCH(SUBSTITUTE($I975,"-","",1),$K976:$K1119,0)),INDEX($R976:$R1119,MATCH($K975,$K976:$K1119,0)))))</f>
        <v/>
      </c>
      <c r="S975" s="35" t="str">
        <f t="shared" si="2"/>
        <v/>
      </c>
      <c r="T975" s="37" t="str">
        <f t="shared" si="3"/>
        <v/>
      </c>
      <c r="U975" s="38" t="str">
        <f t="shared" si="4"/>
        <v/>
      </c>
      <c r="V975" s="31" t="str">
        <f t="shared" si="5"/>
        <v/>
      </c>
      <c r="W975" s="39" t="str">
        <f>IFERROR(__xludf.DUMMYFUNCTION(" IF(Account!$F975&lt;&gt;"""", SPLIT(Account!$F975, "" ""), """")"),"")</f>
        <v/>
      </c>
      <c r="X975" s="40"/>
      <c r="Y975" s="40"/>
      <c r="Z975" s="40"/>
      <c r="AA975" s="40"/>
      <c r="AB975" s="40"/>
      <c r="AC975" s="40"/>
      <c r="AD975" s="40"/>
      <c r="AE975" s="40"/>
      <c r="AF975" s="40"/>
      <c r="AG975" s="40"/>
      <c r="AH975" s="40"/>
      <c r="AI975" s="40"/>
      <c r="AJ975" s="40"/>
      <c r="AK975" s="40"/>
    </row>
    <row r="976">
      <c r="A976" s="300"/>
      <c r="B976" s="300"/>
      <c r="C976" s="300"/>
      <c r="D976" s="300"/>
      <c r="E976" s="300"/>
      <c r="F976" s="329"/>
      <c r="G976" s="300"/>
      <c r="H976" s="300"/>
      <c r="I976" s="300"/>
      <c r="J976" s="300"/>
      <c r="K976" s="300"/>
      <c r="L976" s="329"/>
      <c r="M976" s="29" t="str">
        <f t="shared" si="1"/>
        <v/>
      </c>
      <c r="N976" s="31" t="str">
        <f>IFERROR(__xludf.DUMMYFUNCTION("IF(Account!$F976&lt;&gt;"""", VALUE(REGEXREPLACE($I976, ""\,"", ""."")), """")"),"")</f>
        <v/>
      </c>
      <c r="O976" s="33" t="str">
        <f>IF(Account!$F976&lt;&gt;"", DATEVALUE(MID($A976,4,3) &amp; LEFT($A976,3) &amp; RIGHT($A976,4)) + TIMEVALUE($B976), "")</f>
        <v/>
      </c>
      <c r="P976" s="34" t="str">
        <f>IF(Account!$F976&lt;&gt;"", DATEVALUE(MID($C976,4,3) &amp; LEFT($C976,3) &amp; RIGHT($C976,4)), "")</f>
        <v/>
      </c>
      <c r="Q976" s="35" t="str">
        <f t="array" ref="Q976">IF($R976&lt;&gt;"",IFERROR(INDEX(Investment!$A:$A,MATCH($R976,Investment!$H:$H,0))),)</f>
        <v/>
      </c>
      <c r="R976" s="36" t="str">
        <f t="array" ref="R976">IF(AND($Y976="change",$H976="EUR"),IF(AND($AA976="Crédit",$O976=$O977),$R977,IF(AND($AA976="Débit",$O976=$O975),$R975)),IF(OR(AND(OR($E976&lt;&gt;"",$M976=""),$N976&lt;&gt;0),$A976=""),IFERROR(INDEX(Investment!$H:$H,MATCH($E976,Investment!$F:$F,0))),IFERROR(INDEX($R977:$R1119,MATCH(SUBSTITUTE($I976,"-","",1),$K977:$K1119,0)),INDEX($R977:$R1119,MATCH($K976,$K977:$K1119,0)))))</f>
        <v/>
      </c>
      <c r="S976" s="35" t="str">
        <f t="shared" si="2"/>
        <v/>
      </c>
      <c r="T976" s="37" t="str">
        <f t="shared" si="3"/>
        <v/>
      </c>
      <c r="U976" s="38" t="str">
        <f t="shared" si="4"/>
        <v/>
      </c>
      <c r="V976" s="31" t="str">
        <f t="shared" si="5"/>
        <v/>
      </c>
      <c r="W976" s="39" t="str">
        <f>IFERROR(__xludf.DUMMYFUNCTION(" IF(Account!$F976&lt;&gt;"""", SPLIT(Account!$F976, "" ""), """")"),"")</f>
        <v/>
      </c>
      <c r="X976" s="40"/>
      <c r="Y976" s="40"/>
      <c r="Z976" s="40"/>
      <c r="AA976" s="40"/>
      <c r="AB976" s="40"/>
      <c r="AC976" s="40"/>
      <c r="AD976" s="40"/>
      <c r="AE976" s="40"/>
      <c r="AF976" s="40"/>
      <c r="AG976" s="40"/>
      <c r="AH976" s="40"/>
      <c r="AI976" s="40"/>
      <c r="AJ976" s="40"/>
      <c r="AK976" s="40"/>
    </row>
    <row r="977">
      <c r="A977" s="300"/>
      <c r="B977" s="300"/>
      <c r="C977" s="300"/>
      <c r="D977" s="300"/>
      <c r="E977" s="300"/>
      <c r="F977" s="329"/>
      <c r="G977" s="300"/>
      <c r="H977" s="300"/>
      <c r="I977" s="300"/>
      <c r="J977" s="300"/>
      <c r="K977" s="300"/>
      <c r="L977" s="329"/>
      <c r="M977" s="29" t="str">
        <f t="shared" si="1"/>
        <v/>
      </c>
      <c r="N977" s="31" t="str">
        <f>IFERROR(__xludf.DUMMYFUNCTION("IF(Account!$F977&lt;&gt;"""", VALUE(REGEXREPLACE($I977, ""\,"", ""."")), """")"),"")</f>
        <v/>
      </c>
      <c r="O977" s="33" t="str">
        <f>IF(Account!$F977&lt;&gt;"", DATEVALUE(MID($A977,4,3) &amp; LEFT($A977,3) &amp; RIGHT($A977,4)) + TIMEVALUE($B977), "")</f>
        <v/>
      </c>
      <c r="P977" s="34" t="str">
        <f>IF(Account!$F977&lt;&gt;"", DATEVALUE(MID($C977,4,3) &amp; LEFT($C977,3) &amp; RIGHT($C977,4)), "")</f>
        <v/>
      </c>
      <c r="Q977" s="35" t="str">
        <f t="array" ref="Q977">IF($R977&lt;&gt;"",IFERROR(INDEX(Investment!$A:$A,MATCH($R977,Investment!$H:$H,0))),)</f>
        <v/>
      </c>
      <c r="R977" s="36" t="str">
        <f t="array" ref="R977">IF(AND($Y977="change",$H977="EUR"),IF(AND($AA977="Crédit",$O977=$O978),$R978,IF(AND($AA977="Débit",$O977=$O976),$R976)),IF(OR(AND(OR($E977&lt;&gt;"",$M977=""),$N977&lt;&gt;0),$A977=""),IFERROR(INDEX(Investment!$H:$H,MATCH($E977,Investment!$F:$F,0))),IFERROR(INDEX($R978:$R1119,MATCH(SUBSTITUTE($I977,"-","",1),$K978:$K1119,0)),INDEX($R978:$R1119,MATCH($K977,$K978:$K1119,0)))))</f>
        <v/>
      </c>
      <c r="S977" s="35" t="str">
        <f t="shared" si="2"/>
        <v/>
      </c>
      <c r="T977" s="37" t="str">
        <f t="shared" si="3"/>
        <v/>
      </c>
      <c r="U977" s="38" t="str">
        <f t="shared" si="4"/>
        <v/>
      </c>
      <c r="V977" s="31" t="str">
        <f t="shared" si="5"/>
        <v/>
      </c>
      <c r="W977" s="39" t="str">
        <f>IFERROR(__xludf.DUMMYFUNCTION(" IF(Account!$F977&lt;&gt;"""", SPLIT(Account!$F977, "" ""), """")"),"")</f>
        <v/>
      </c>
      <c r="X977" s="40"/>
      <c r="Y977" s="40"/>
      <c r="Z977" s="40"/>
      <c r="AA977" s="40"/>
      <c r="AB977" s="40"/>
      <c r="AC977" s="40"/>
      <c r="AD977" s="40"/>
      <c r="AE977" s="40"/>
      <c r="AF977" s="40"/>
      <c r="AG977" s="40"/>
      <c r="AH977" s="40"/>
      <c r="AI977" s="40"/>
      <c r="AJ977" s="40"/>
      <c r="AK977" s="40"/>
    </row>
    <row r="978">
      <c r="A978" s="300"/>
      <c r="B978" s="300"/>
      <c r="C978" s="300"/>
      <c r="D978" s="300"/>
      <c r="E978" s="300"/>
      <c r="F978" s="329"/>
      <c r="G978" s="300"/>
      <c r="H978" s="300"/>
      <c r="I978" s="300"/>
      <c r="J978" s="300"/>
      <c r="K978" s="300"/>
      <c r="L978" s="329"/>
      <c r="M978" s="29" t="str">
        <f t="shared" si="1"/>
        <v/>
      </c>
      <c r="N978" s="31" t="str">
        <f>IFERROR(__xludf.DUMMYFUNCTION("IF(Account!$F978&lt;&gt;"""", VALUE(REGEXREPLACE($I978, ""\,"", ""."")), """")"),"")</f>
        <v/>
      </c>
      <c r="O978" s="33" t="str">
        <f>IF(Account!$F978&lt;&gt;"", DATEVALUE(MID($A978,4,3) &amp; LEFT($A978,3) &amp; RIGHT($A978,4)) + TIMEVALUE($B978), "")</f>
        <v/>
      </c>
      <c r="P978" s="34" t="str">
        <f>IF(Account!$F978&lt;&gt;"", DATEVALUE(MID($C978,4,3) &amp; LEFT($C978,3) &amp; RIGHT($C978,4)), "")</f>
        <v/>
      </c>
      <c r="Q978" s="35" t="str">
        <f t="array" ref="Q978">IF($R978&lt;&gt;"",IFERROR(INDEX(Investment!$A:$A,MATCH($R978,Investment!$H:$H,0))),)</f>
        <v/>
      </c>
      <c r="R978" s="36" t="str">
        <f t="array" ref="R978">IF(AND($Y978="change",$H978="EUR"),IF(AND($AA978="Crédit",$O978=$O979),$R979,IF(AND($AA978="Débit",$O978=$O977),$R977)),IF(OR(AND(OR($E978&lt;&gt;"",$M978=""),$N978&lt;&gt;0),$A978=""),IFERROR(INDEX(Investment!$H:$H,MATCH($E978,Investment!$F:$F,0))),IFERROR(INDEX($R979:$R1119,MATCH(SUBSTITUTE($I978,"-","",1),$K979:$K1119,0)),INDEX($R979:$R1119,MATCH($K978,$K979:$K1119,0)))))</f>
        <v/>
      </c>
      <c r="S978" s="35" t="str">
        <f t="shared" si="2"/>
        <v/>
      </c>
      <c r="T978" s="37" t="str">
        <f t="shared" si="3"/>
        <v/>
      </c>
      <c r="U978" s="38" t="str">
        <f t="shared" si="4"/>
        <v/>
      </c>
      <c r="V978" s="31" t="str">
        <f t="shared" si="5"/>
        <v/>
      </c>
      <c r="W978" s="39" t="str">
        <f>IFERROR(__xludf.DUMMYFUNCTION(" IF(Account!$F978&lt;&gt;"""", SPLIT(Account!$F978, "" ""), """")"),"")</f>
        <v/>
      </c>
      <c r="X978" s="40"/>
      <c r="Y978" s="40"/>
      <c r="Z978" s="40"/>
      <c r="AA978" s="40"/>
      <c r="AB978" s="40"/>
      <c r="AC978" s="40"/>
      <c r="AD978" s="40"/>
      <c r="AE978" s="40"/>
      <c r="AF978" s="40"/>
      <c r="AG978" s="40"/>
      <c r="AH978" s="40"/>
      <c r="AI978" s="40"/>
      <c r="AJ978" s="40"/>
      <c r="AK978" s="40"/>
    </row>
    <row r="979">
      <c r="A979" s="300"/>
      <c r="B979" s="300"/>
      <c r="C979" s="300"/>
      <c r="D979" s="300"/>
      <c r="E979" s="300"/>
      <c r="F979" s="329"/>
      <c r="G979" s="300"/>
      <c r="H979" s="300"/>
      <c r="I979" s="300"/>
      <c r="J979" s="300"/>
      <c r="K979" s="300"/>
      <c r="L979" s="329"/>
      <c r="M979" s="29" t="str">
        <f t="shared" si="1"/>
        <v/>
      </c>
      <c r="N979" s="31" t="str">
        <f>IFERROR(__xludf.DUMMYFUNCTION("IF(Account!$F979&lt;&gt;"""", VALUE(REGEXREPLACE($I979, ""\,"", ""."")), """")"),"")</f>
        <v/>
      </c>
      <c r="O979" s="33" t="str">
        <f>IF(Account!$F979&lt;&gt;"", DATEVALUE(MID($A979,4,3) &amp; LEFT($A979,3) &amp; RIGHT($A979,4)) + TIMEVALUE($B979), "")</f>
        <v/>
      </c>
      <c r="P979" s="34" t="str">
        <f>IF(Account!$F979&lt;&gt;"", DATEVALUE(MID($C979,4,3) &amp; LEFT($C979,3) &amp; RIGHT($C979,4)), "")</f>
        <v/>
      </c>
      <c r="Q979" s="35" t="str">
        <f t="array" ref="Q979">IF($R979&lt;&gt;"",IFERROR(INDEX(Investment!$A:$A,MATCH($R979,Investment!$H:$H,0))),)</f>
        <v/>
      </c>
      <c r="R979" s="36" t="str">
        <f t="array" ref="R979">IF(AND($Y979="change",$H979="EUR"),IF(AND($AA979="Crédit",$O979=$O980),$R980,IF(AND($AA979="Débit",$O979=$O978),$R978)),IF(OR(AND(OR($E979&lt;&gt;"",$M979=""),$N979&lt;&gt;0),$A979=""),IFERROR(INDEX(Investment!$H:$H,MATCH($E979,Investment!$F:$F,0))),IFERROR(INDEX($R980:$R1119,MATCH(SUBSTITUTE($I979,"-","",1),$K980:$K1119,0)),INDEX($R980:$R1119,MATCH($K979,$K980:$K1119,0)))))</f>
        <v/>
      </c>
      <c r="S979" s="35" t="str">
        <f t="shared" si="2"/>
        <v/>
      </c>
      <c r="T979" s="37" t="str">
        <f t="shared" si="3"/>
        <v/>
      </c>
      <c r="U979" s="38" t="str">
        <f t="shared" si="4"/>
        <v/>
      </c>
      <c r="V979" s="31" t="str">
        <f t="shared" si="5"/>
        <v/>
      </c>
      <c r="W979" s="39" t="str">
        <f>IFERROR(__xludf.DUMMYFUNCTION(" IF(Account!$F979&lt;&gt;"""", SPLIT(Account!$F979, "" ""), """")"),"")</f>
        <v/>
      </c>
      <c r="X979" s="40"/>
      <c r="Y979" s="40"/>
      <c r="Z979" s="40"/>
      <c r="AA979" s="40"/>
      <c r="AB979" s="40"/>
      <c r="AC979" s="40"/>
      <c r="AD979" s="40"/>
      <c r="AE979" s="40"/>
      <c r="AF979" s="40"/>
      <c r="AG979" s="40"/>
      <c r="AH979" s="40"/>
      <c r="AI979" s="40"/>
      <c r="AJ979" s="40"/>
      <c r="AK979" s="40"/>
    </row>
    <row r="980">
      <c r="A980" s="300"/>
      <c r="B980" s="300"/>
      <c r="C980" s="300"/>
      <c r="D980" s="300"/>
      <c r="E980" s="300"/>
      <c r="F980" s="329"/>
      <c r="G980" s="300"/>
      <c r="H980" s="300"/>
      <c r="I980" s="300"/>
      <c r="J980" s="300"/>
      <c r="K980" s="300"/>
      <c r="L980" s="329"/>
      <c r="M980" s="29" t="str">
        <f t="shared" si="1"/>
        <v/>
      </c>
      <c r="N980" s="31" t="str">
        <f>IFERROR(__xludf.DUMMYFUNCTION("IF(Account!$F980&lt;&gt;"""", VALUE(REGEXREPLACE($I980, ""\,"", ""."")), """")"),"")</f>
        <v/>
      </c>
      <c r="O980" s="33" t="str">
        <f>IF(Account!$F980&lt;&gt;"", DATEVALUE(MID($A980,4,3) &amp; LEFT($A980,3) &amp; RIGHT($A980,4)) + TIMEVALUE($B980), "")</f>
        <v/>
      </c>
      <c r="P980" s="34" t="str">
        <f>IF(Account!$F980&lt;&gt;"", DATEVALUE(MID($C980,4,3) &amp; LEFT($C980,3) &amp; RIGHT($C980,4)), "")</f>
        <v/>
      </c>
      <c r="Q980" s="35" t="str">
        <f t="array" ref="Q980">IF($R980&lt;&gt;"",IFERROR(INDEX(Investment!$A:$A,MATCH($R980,Investment!$H:$H,0))),)</f>
        <v/>
      </c>
      <c r="R980" s="36" t="str">
        <f t="array" ref="R980">IF(AND($Y980="change",$H980="EUR"),IF(AND($AA980="Crédit",$O980=$O981),$R981,IF(AND($AA980="Débit",$O980=$O979),$R979)),IF(OR(AND(OR($E980&lt;&gt;"",$M980=""),$N980&lt;&gt;0),$A980=""),IFERROR(INDEX(Investment!$H:$H,MATCH($E980,Investment!$F:$F,0))),IFERROR(INDEX($R981:$R1119,MATCH(SUBSTITUTE($I980,"-","",1),$K981:$K1119,0)),INDEX($R981:$R1119,MATCH($K980,$K981:$K1119,0)))))</f>
        <v/>
      </c>
      <c r="S980" s="35" t="str">
        <f t="shared" si="2"/>
        <v/>
      </c>
      <c r="T980" s="37" t="str">
        <f t="shared" si="3"/>
        <v/>
      </c>
      <c r="U980" s="38" t="str">
        <f t="shared" si="4"/>
        <v/>
      </c>
      <c r="V980" s="31" t="str">
        <f t="shared" si="5"/>
        <v/>
      </c>
      <c r="W980" s="39" t="str">
        <f>IFERROR(__xludf.DUMMYFUNCTION(" IF(Account!$F980&lt;&gt;"""", SPLIT(Account!$F980, "" ""), """")"),"")</f>
        <v/>
      </c>
      <c r="X980" s="40"/>
      <c r="Y980" s="40"/>
      <c r="Z980" s="40"/>
      <c r="AA980" s="40"/>
      <c r="AB980" s="40"/>
      <c r="AC980" s="40"/>
      <c r="AD980" s="40"/>
      <c r="AE980" s="40"/>
      <c r="AF980" s="40"/>
      <c r="AG980" s="40"/>
      <c r="AH980" s="40"/>
      <c r="AI980" s="40"/>
      <c r="AJ980" s="40"/>
      <c r="AK980" s="40"/>
    </row>
    <row r="981">
      <c r="A981" s="300"/>
      <c r="B981" s="300"/>
      <c r="C981" s="300"/>
      <c r="D981" s="300"/>
      <c r="E981" s="300"/>
      <c r="F981" s="329"/>
      <c r="G981" s="300"/>
      <c r="H981" s="300"/>
      <c r="I981" s="300"/>
      <c r="J981" s="300"/>
      <c r="K981" s="300"/>
      <c r="L981" s="329"/>
      <c r="M981" s="29" t="str">
        <f t="shared" si="1"/>
        <v/>
      </c>
      <c r="N981" s="31" t="str">
        <f>IFERROR(__xludf.DUMMYFUNCTION("IF(Account!$F981&lt;&gt;"""", VALUE(REGEXREPLACE($I981, ""\,"", ""."")), """")"),"")</f>
        <v/>
      </c>
      <c r="O981" s="33" t="str">
        <f>IF(Account!$F981&lt;&gt;"", DATEVALUE(MID($A981,4,3) &amp; LEFT($A981,3) &amp; RIGHT($A981,4)) + TIMEVALUE($B981), "")</f>
        <v/>
      </c>
      <c r="P981" s="34" t="str">
        <f>IF(Account!$F981&lt;&gt;"", DATEVALUE(MID($C981,4,3) &amp; LEFT($C981,3) &amp; RIGHT($C981,4)), "")</f>
        <v/>
      </c>
      <c r="Q981" s="35" t="str">
        <f t="array" ref="Q981">IF($R981&lt;&gt;"",IFERROR(INDEX(Investment!$A:$A,MATCH($R981,Investment!$H:$H,0))),)</f>
        <v/>
      </c>
      <c r="R981" s="36" t="str">
        <f t="array" ref="R981">IF(AND($Y981="change",$H981="EUR"),IF(AND($AA981="Crédit",$O981=$O982),$R982,IF(AND($AA981="Débit",$O981=$O980),$R980)),IF(OR(AND(OR($E981&lt;&gt;"",$M981=""),$N981&lt;&gt;0),$A981=""),IFERROR(INDEX(Investment!$H:$H,MATCH($E981,Investment!$F:$F,0))),IFERROR(INDEX($R982:$R1119,MATCH(SUBSTITUTE($I981,"-","",1),$K982:$K1119,0)),INDEX($R982:$R1119,MATCH($K981,$K982:$K1119,0)))))</f>
        <v/>
      </c>
      <c r="S981" s="35" t="str">
        <f t="shared" si="2"/>
        <v/>
      </c>
      <c r="T981" s="37" t="str">
        <f t="shared" si="3"/>
        <v/>
      </c>
      <c r="U981" s="38" t="str">
        <f t="shared" si="4"/>
        <v/>
      </c>
      <c r="V981" s="31" t="str">
        <f t="shared" si="5"/>
        <v/>
      </c>
      <c r="W981" s="39" t="str">
        <f>IFERROR(__xludf.DUMMYFUNCTION(" IF(Account!$F981&lt;&gt;"""", SPLIT(Account!$F981, "" ""), """")"),"")</f>
        <v/>
      </c>
      <c r="X981" s="40"/>
      <c r="Y981" s="40"/>
      <c r="Z981" s="40"/>
      <c r="AA981" s="40"/>
      <c r="AB981" s="40"/>
      <c r="AC981" s="40"/>
      <c r="AD981" s="40"/>
      <c r="AE981" s="40"/>
      <c r="AF981" s="40"/>
      <c r="AG981" s="40"/>
      <c r="AH981" s="40"/>
      <c r="AI981" s="40"/>
      <c r="AJ981" s="40"/>
      <c r="AK981" s="40"/>
    </row>
    <row r="982">
      <c r="A982" s="300"/>
      <c r="B982" s="300"/>
      <c r="C982" s="300"/>
      <c r="D982" s="300"/>
      <c r="E982" s="300"/>
      <c r="F982" s="329"/>
      <c r="G982" s="300"/>
      <c r="H982" s="300"/>
      <c r="I982" s="300"/>
      <c r="J982" s="300"/>
      <c r="K982" s="300"/>
      <c r="L982" s="329"/>
      <c r="M982" s="29" t="str">
        <f t="shared" si="1"/>
        <v/>
      </c>
      <c r="N982" s="31" t="str">
        <f>IFERROR(__xludf.DUMMYFUNCTION("IF(Account!$F982&lt;&gt;"""", VALUE(REGEXREPLACE($I982, ""\,"", ""."")), """")"),"")</f>
        <v/>
      </c>
      <c r="O982" s="33" t="str">
        <f>IF(Account!$F982&lt;&gt;"", DATEVALUE(MID($A982,4,3) &amp; LEFT($A982,3) &amp; RIGHT($A982,4)) + TIMEVALUE($B982), "")</f>
        <v/>
      </c>
      <c r="P982" s="34" t="str">
        <f>IF(Account!$F982&lt;&gt;"", DATEVALUE(MID($C982,4,3) &amp; LEFT($C982,3) &amp; RIGHT($C982,4)), "")</f>
        <v/>
      </c>
      <c r="Q982" s="35" t="str">
        <f t="array" ref="Q982">IF($R982&lt;&gt;"",IFERROR(INDEX(Investment!$A:$A,MATCH($R982,Investment!$H:$H,0))),)</f>
        <v/>
      </c>
      <c r="R982" s="36" t="str">
        <f t="array" ref="R982">IF(AND($Y982="change",$H982="EUR"),IF(AND($AA982="Crédit",$O982=$O983),$R983,IF(AND($AA982="Débit",$O982=$O981),$R981)),IF(OR(AND(OR($E982&lt;&gt;"",$M982=""),$N982&lt;&gt;0),$A982=""),IFERROR(INDEX(Investment!$H:$H,MATCH($E982,Investment!$F:$F,0))),IFERROR(INDEX($R983:$R1119,MATCH(SUBSTITUTE($I982,"-","",1),$K983:$K1119,0)),INDEX($R983:$R1119,MATCH($K982,$K983:$K1119,0)))))</f>
        <v/>
      </c>
      <c r="S982" s="35" t="str">
        <f t="shared" si="2"/>
        <v/>
      </c>
      <c r="T982" s="37" t="str">
        <f t="shared" si="3"/>
        <v/>
      </c>
      <c r="U982" s="38" t="str">
        <f t="shared" si="4"/>
        <v/>
      </c>
      <c r="V982" s="31" t="str">
        <f t="shared" si="5"/>
        <v/>
      </c>
      <c r="W982" s="39" t="str">
        <f>IFERROR(__xludf.DUMMYFUNCTION(" IF(Account!$F982&lt;&gt;"""", SPLIT(Account!$F982, "" ""), """")"),"")</f>
        <v/>
      </c>
      <c r="X982" s="40"/>
      <c r="Y982" s="40"/>
      <c r="Z982" s="40"/>
      <c r="AA982" s="40"/>
      <c r="AB982" s="40"/>
      <c r="AC982" s="40"/>
      <c r="AD982" s="40"/>
      <c r="AE982" s="40"/>
      <c r="AF982" s="40"/>
      <c r="AG982" s="40"/>
      <c r="AH982" s="40"/>
      <c r="AI982" s="40"/>
      <c r="AJ982" s="40"/>
      <c r="AK982" s="40"/>
    </row>
    <row r="983">
      <c r="A983" s="300"/>
      <c r="B983" s="300"/>
      <c r="C983" s="300"/>
      <c r="D983" s="300"/>
      <c r="E983" s="300"/>
      <c r="F983" s="329"/>
      <c r="G983" s="300"/>
      <c r="H983" s="300"/>
      <c r="I983" s="300"/>
      <c r="J983" s="300"/>
      <c r="K983" s="300"/>
      <c r="L983" s="329"/>
      <c r="M983" s="29" t="str">
        <f t="shared" si="1"/>
        <v/>
      </c>
      <c r="N983" s="31" t="str">
        <f>IFERROR(__xludf.DUMMYFUNCTION("IF(Account!$F983&lt;&gt;"""", VALUE(REGEXREPLACE($I983, ""\,"", ""."")), """")"),"")</f>
        <v/>
      </c>
      <c r="O983" s="33" t="str">
        <f>IF(Account!$F983&lt;&gt;"", DATEVALUE(MID($A983,4,3) &amp; LEFT($A983,3) &amp; RIGHT($A983,4)) + TIMEVALUE($B983), "")</f>
        <v/>
      </c>
      <c r="P983" s="34" t="str">
        <f>IF(Account!$F983&lt;&gt;"", DATEVALUE(MID($C983,4,3) &amp; LEFT($C983,3) &amp; RIGHT($C983,4)), "")</f>
        <v/>
      </c>
      <c r="Q983" s="35" t="str">
        <f t="array" ref="Q983">IF($R983&lt;&gt;"",IFERROR(INDEX(Investment!$A:$A,MATCH($R983,Investment!$H:$H,0))),)</f>
        <v/>
      </c>
      <c r="R983" s="36" t="str">
        <f t="array" ref="R983">IF(AND($Y983="change",$H983="EUR"),IF(AND($AA983="Crédit",$O983=$O984),$R984,IF(AND($AA983="Débit",$O983=$O982),$R982)),IF(OR(AND(OR($E983&lt;&gt;"",$M983=""),$N983&lt;&gt;0),$A983=""),IFERROR(INDEX(Investment!$H:$H,MATCH($E983,Investment!$F:$F,0))),IFERROR(INDEX($R984:$R1119,MATCH(SUBSTITUTE($I983,"-","",1),$K984:$K1119,0)),INDEX($R984:$R1119,MATCH($K983,$K984:$K1119,0)))))</f>
        <v/>
      </c>
      <c r="S983" s="35" t="str">
        <f t="shared" si="2"/>
        <v/>
      </c>
      <c r="T983" s="37" t="str">
        <f t="shared" si="3"/>
        <v/>
      </c>
      <c r="U983" s="38" t="str">
        <f t="shared" si="4"/>
        <v/>
      </c>
      <c r="V983" s="31" t="str">
        <f t="shared" si="5"/>
        <v/>
      </c>
      <c r="W983" s="39" t="str">
        <f>IFERROR(__xludf.DUMMYFUNCTION(" IF(Account!$F983&lt;&gt;"""", SPLIT(Account!$F983, "" ""), """")"),"")</f>
        <v/>
      </c>
      <c r="X983" s="40"/>
      <c r="Y983" s="40"/>
      <c r="Z983" s="40"/>
      <c r="AA983" s="40"/>
      <c r="AB983" s="40"/>
      <c r="AC983" s="40"/>
      <c r="AD983" s="40"/>
      <c r="AE983" s="40"/>
      <c r="AF983" s="40"/>
      <c r="AG983" s="40"/>
      <c r="AH983" s="40"/>
      <c r="AI983" s="40"/>
      <c r="AJ983" s="40"/>
      <c r="AK983" s="40"/>
    </row>
    <row r="984">
      <c r="A984" s="300"/>
      <c r="B984" s="300"/>
      <c r="C984" s="300"/>
      <c r="D984" s="300"/>
      <c r="E984" s="300"/>
      <c r="F984" s="329"/>
      <c r="G984" s="300"/>
      <c r="H984" s="300"/>
      <c r="I984" s="300"/>
      <c r="J984" s="300"/>
      <c r="K984" s="300"/>
      <c r="L984" s="329"/>
      <c r="M984" s="29" t="str">
        <f t="shared" si="1"/>
        <v/>
      </c>
      <c r="N984" s="31" t="str">
        <f>IFERROR(__xludf.DUMMYFUNCTION("IF(Account!$F984&lt;&gt;"""", VALUE(REGEXREPLACE($I984, ""\,"", ""."")), """")"),"")</f>
        <v/>
      </c>
      <c r="O984" s="33" t="str">
        <f>IF(Account!$F984&lt;&gt;"", DATEVALUE(MID($A984,4,3) &amp; LEFT($A984,3) &amp; RIGHT($A984,4)) + TIMEVALUE($B984), "")</f>
        <v/>
      </c>
      <c r="P984" s="34" t="str">
        <f>IF(Account!$F984&lt;&gt;"", DATEVALUE(MID($C984,4,3) &amp; LEFT($C984,3) &amp; RIGHT($C984,4)), "")</f>
        <v/>
      </c>
      <c r="Q984" s="35" t="str">
        <f t="array" ref="Q984">IF($R984&lt;&gt;"",IFERROR(INDEX(Investment!$A:$A,MATCH($R984,Investment!$H:$H,0))),)</f>
        <v/>
      </c>
      <c r="R984" s="36" t="str">
        <f t="array" ref="R984">IF(AND($Y984="change",$H984="EUR"),IF(AND($AA984="Crédit",$O984=$O985),$R985,IF(AND($AA984="Débit",$O984=$O983),$R983)),IF(OR(AND(OR($E984&lt;&gt;"",$M984=""),$N984&lt;&gt;0),$A984=""),IFERROR(INDEX(Investment!$H:$H,MATCH($E984,Investment!$F:$F,0))),IFERROR(INDEX($R985:$R1119,MATCH(SUBSTITUTE($I984,"-","",1),$K985:$K1119,0)),INDEX($R985:$R1119,MATCH($K984,$K985:$K1119,0)))))</f>
        <v/>
      </c>
      <c r="S984" s="35" t="str">
        <f t="shared" si="2"/>
        <v/>
      </c>
      <c r="T984" s="37" t="str">
        <f t="shared" si="3"/>
        <v/>
      </c>
      <c r="U984" s="38" t="str">
        <f t="shared" si="4"/>
        <v/>
      </c>
      <c r="V984" s="31" t="str">
        <f t="shared" si="5"/>
        <v/>
      </c>
      <c r="W984" s="39" t="str">
        <f>IFERROR(__xludf.DUMMYFUNCTION(" IF(Account!$F984&lt;&gt;"""", SPLIT(Account!$F984, "" ""), """")"),"")</f>
        <v/>
      </c>
      <c r="X984" s="40"/>
      <c r="Y984" s="40"/>
      <c r="Z984" s="40"/>
      <c r="AA984" s="40"/>
      <c r="AB984" s="40"/>
      <c r="AC984" s="40"/>
      <c r="AD984" s="40"/>
      <c r="AE984" s="40"/>
      <c r="AF984" s="40"/>
      <c r="AG984" s="40"/>
      <c r="AH984" s="40"/>
      <c r="AI984" s="40"/>
      <c r="AJ984" s="40"/>
      <c r="AK984" s="40"/>
    </row>
    <row r="985">
      <c r="A985" s="300"/>
      <c r="B985" s="300"/>
      <c r="C985" s="300"/>
      <c r="D985" s="300"/>
      <c r="E985" s="300"/>
      <c r="F985" s="329"/>
      <c r="G985" s="300"/>
      <c r="H985" s="300"/>
      <c r="I985" s="300"/>
      <c r="J985" s="300"/>
      <c r="K985" s="300"/>
      <c r="L985" s="329"/>
      <c r="M985" s="29" t="str">
        <f t="shared" si="1"/>
        <v/>
      </c>
      <c r="N985" s="31" t="str">
        <f>IFERROR(__xludf.DUMMYFUNCTION("IF(Account!$F985&lt;&gt;"""", VALUE(REGEXREPLACE($I985, ""\,"", ""."")), """")"),"")</f>
        <v/>
      </c>
      <c r="O985" s="33" t="str">
        <f>IF(Account!$F985&lt;&gt;"", DATEVALUE(MID($A985,4,3) &amp; LEFT($A985,3) &amp; RIGHT($A985,4)) + TIMEVALUE($B985), "")</f>
        <v/>
      </c>
      <c r="P985" s="34" t="str">
        <f>IF(Account!$F985&lt;&gt;"", DATEVALUE(MID($C985,4,3) &amp; LEFT($C985,3) &amp; RIGHT($C985,4)), "")</f>
        <v/>
      </c>
      <c r="Q985" s="35" t="str">
        <f t="array" ref="Q985">IF($R985&lt;&gt;"",IFERROR(INDEX(Investment!$A:$A,MATCH($R985,Investment!$H:$H,0))),)</f>
        <v/>
      </c>
      <c r="R985" s="36" t="str">
        <f t="array" ref="R985">IF(AND($Y985="change",$H985="EUR"),IF(AND($AA985="Crédit",$O985=$O986),$R986,IF(AND($AA985="Débit",$O985=$O984),$R984)),IF(OR(AND(OR($E985&lt;&gt;"",$M985=""),$N985&lt;&gt;0),$A985=""),IFERROR(INDEX(Investment!$H:$H,MATCH($E985,Investment!$F:$F,0))),IFERROR(INDEX($R986:$R1119,MATCH(SUBSTITUTE($I985,"-","",1),$K986:$K1119,0)),INDEX($R986:$R1119,MATCH($K985,$K986:$K1119,0)))))</f>
        <v/>
      </c>
      <c r="S985" s="35" t="str">
        <f t="shared" si="2"/>
        <v/>
      </c>
      <c r="T985" s="37" t="str">
        <f t="shared" si="3"/>
        <v/>
      </c>
      <c r="U985" s="38" t="str">
        <f t="shared" si="4"/>
        <v/>
      </c>
      <c r="V985" s="31" t="str">
        <f t="shared" si="5"/>
        <v/>
      </c>
      <c r="W985" s="39" t="str">
        <f>IFERROR(__xludf.DUMMYFUNCTION(" IF(Account!$F985&lt;&gt;"""", SPLIT(Account!$F985, "" ""), """")"),"")</f>
        <v/>
      </c>
      <c r="X985" s="40"/>
      <c r="Y985" s="40"/>
      <c r="Z985" s="40"/>
      <c r="AA985" s="40"/>
      <c r="AB985" s="40"/>
      <c r="AC985" s="40"/>
      <c r="AD985" s="40"/>
      <c r="AE985" s="40"/>
      <c r="AF985" s="40"/>
      <c r="AG985" s="40"/>
      <c r="AH985" s="40"/>
      <c r="AI985" s="40"/>
      <c r="AJ985" s="40"/>
      <c r="AK985" s="40"/>
    </row>
    <row r="986">
      <c r="A986" s="300"/>
      <c r="B986" s="300"/>
      <c r="C986" s="300"/>
      <c r="D986" s="300"/>
      <c r="E986" s="300"/>
      <c r="F986" s="329"/>
      <c r="G986" s="300"/>
      <c r="H986" s="300"/>
      <c r="I986" s="300"/>
      <c r="J986" s="300"/>
      <c r="K986" s="300"/>
      <c r="L986" s="329"/>
      <c r="M986" s="29" t="str">
        <f t="shared" si="1"/>
        <v/>
      </c>
      <c r="N986" s="31" t="str">
        <f>IFERROR(__xludf.DUMMYFUNCTION("IF(Account!$F986&lt;&gt;"""", VALUE(REGEXREPLACE($I986, ""\,"", ""."")), """")"),"")</f>
        <v/>
      </c>
      <c r="O986" s="33" t="str">
        <f>IF(Account!$F986&lt;&gt;"", DATEVALUE(MID($A986,4,3) &amp; LEFT($A986,3) &amp; RIGHT($A986,4)) + TIMEVALUE($B986), "")</f>
        <v/>
      </c>
      <c r="P986" s="34" t="str">
        <f>IF(Account!$F986&lt;&gt;"", DATEVALUE(MID($C986,4,3) &amp; LEFT($C986,3) &amp; RIGHT($C986,4)), "")</f>
        <v/>
      </c>
      <c r="Q986" s="35" t="str">
        <f t="array" ref="Q986">IF($R986&lt;&gt;"",IFERROR(INDEX(Investment!$A:$A,MATCH($R986,Investment!$H:$H,0))),)</f>
        <v/>
      </c>
      <c r="R986" s="36" t="str">
        <f t="array" ref="R986">IF(AND($Y986="change",$H986="EUR"),IF(AND($AA986="Crédit",$O986=$O987),$R987,IF(AND($AA986="Débit",$O986=$O985),$R985)),IF(OR(AND(OR($E986&lt;&gt;"",$M986=""),$N986&lt;&gt;0),$A986=""),IFERROR(INDEX(Investment!$H:$H,MATCH($E986,Investment!$F:$F,0))),IFERROR(INDEX($R987:$R1119,MATCH(SUBSTITUTE($I986,"-","",1),$K987:$K1119,0)),INDEX($R987:$R1119,MATCH($K986,$K987:$K1119,0)))))</f>
        <v/>
      </c>
      <c r="S986" s="35" t="str">
        <f t="shared" si="2"/>
        <v/>
      </c>
      <c r="T986" s="37" t="str">
        <f t="shared" si="3"/>
        <v/>
      </c>
      <c r="U986" s="38" t="str">
        <f t="shared" si="4"/>
        <v/>
      </c>
      <c r="V986" s="31" t="str">
        <f t="shared" si="5"/>
        <v/>
      </c>
      <c r="W986" s="39" t="str">
        <f>IFERROR(__xludf.DUMMYFUNCTION(" IF(Account!$F986&lt;&gt;"""", SPLIT(Account!$F986, "" ""), """")"),"")</f>
        <v/>
      </c>
      <c r="X986" s="40"/>
      <c r="Y986" s="40"/>
      <c r="Z986" s="40"/>
      <c r="AA986" s="40"/>
      <c r="AB986" s="40"/>
      <c r="AC986" s="40"/>
      <c r="AD986" s="40"/>
      <c r="AE986" s="40"/>
      <c r="AF986" s="40"/>
      <c r="AG986" s="40"/>
      <c r="AH986" s="40"/>
      <c r="AI986" s="40"/>
      <c r="AJ986" s="40"/>
      <c r="AK986" s="40"/>
    </row>
    <row r="987">
      <c r="A987" s="300"/>
      <c r="B987" s="300"/>
      <c r="C987" s="300"/>
      <c r="D987" s="300"/>
      <c r="E987" s="300"/>
      <c r="F987" s="329"/>
      <c r="G987" s="300"/>
      <c r="H987" s="300"/>
      <c r="I987" s="300"/>
      <c r="J987" s="300"/>
      <c r="K987" s="300"/>
      <c r="L987" s="329"/>
      <c r="M987" s="29" t="str">
        <f t="shared" si="1"/>
        <v/>
      </c>
      <c r="N987" s="31" t="str">
        <f>IFERROR(__xludf.DUMMYFUNCTION("IF(Account!$F987&lt;&gt;"""", VALUE(REGEXREPLACE($I987, ""\,"", ""."")), """")"),"")</f>
        <v/>
      </c>
      <c r="O987" s="33" t="str">
        <f>IF(Account!$F987&lt;&gt;"", DATEVALUE(MID($A987,4,3) &amp; LEFT($A987,3) &amp; RIGHT($A987,4)) + TIMEVALUE($B987), "")</f>
        <v/>
      </c>
      <c r="P987" s="34" t="str">
        <f>IF(Account!$F987&lt;&gt;"", DATEVALUE(MID($C987,4,3) &amp; LEFT($C987,3) &amp; RIGHT($C987,4)), "")</f>
        <v/>
      </c>
      <c r="Q987" s="35" t="str">
        <f t="array" ref="Q987">IF($R987&lt;&gt;"",IFERROR(INDEX(Investment!$A:$A,MATCH($R987,Investment!$H:$H,0))),)</f>
        <v/>
      </c>
      <c r="R987" s="36" t="str">
        <f t="array" ref="R987">IF(AND($Y987="change",$H987="EUR"),IF(AND($AA987="Crédit",$O987=$O988),$R988,IF(AND($AA987="Débit",$O987=$O986),$R986)),IF(OR(AND(OR($E987&lt;&gt;"",$M987=""),$N987&lt;&gt;0),$A987=""),IFERROR(INDEX(Investment!$H:$H,MATCH($E987,Investment!$F:$F,0))),IFERROR(INDEX($R988:$R1119,MATCH(SUBSTITUTE($I987,"-","",1),$K988:$K1119,0)),INDEX($R988:$R1119,MATCH($K987,$K988:$K1119,0)))))</f>
        <v/>
      </c>
      <c r="S987" s="35" t="str">
        <f t="shared" si="2"/>
        <v/>
      </c>
      <c r="T987" s="37" t="str">
        <f t="shared" si="3"/>
        <v/>
      </c>
      <c r="U987" s="38" t="str">
        <f t="shared" si="4"/>
        <v/>
      </c>
      <c r="V987" s="31" t="str">
        <f t="shared" si="5"/>
        <v/>
      </c>
      <c r="W987" s="39" t="str">
        <f>IFERROR(__xludf.DUMMYFUNCTION(" IF(Account!$F987&lt;&gt;"""", SPLIT(Account!$F987, "" ""), """")"),"")</f>
        <v/>
      </c>
      <c r="X987" s="40"/>
      <c r="Y987" s="40"/>
      <c r="Z987" s="40"/>
      <c r="AA987" s="40"/>
      <c r="AB987" s="40"/>
      <c r="AC987" s="40"/>
      <c r="AD987" s="40"/>
      <c r="AE987" s="40"/>
      <c r="AF987" s="40"/>
      <c r="AG987" s="40"/>
      <c r="AH987" s="40"/>
      <c r="AI987" s="40"/>
      <c r="AJ987" s="40"/>
      <c r="AK987" s="40"/>
    </row>
    <row r="988">
      <c r="A988" s="300"/>
      <c r="B988" s="300"/>
      <c r="C988" s="300"/>
      <c r="D988" s="300"/>
      <c r="E988" s="300"/>
      <c r="F988" s="329"/>
      <c r="G988" s="300"/>
      <c r="H988" s="300"/>
      <c r="I988" s="300"/>
      <c r="J988" s="300"/>
      <c r="K988" s="300"/>
      <c r="L988" s="329"/>
      <c r="M988" s="29" t="str">
        <f t="shared" si="1"/>
        <v/>
      </c>
      <c r="N988" s="31" t="str">
        <f>IFERROR(__xludf.DUMMYFUNCTION("IF(Account!$F988&lt;&gt;"""", VALUE(REGEXREPLACE($I988, ""\,"", ""."")), """")"),"")</f>
        <v/>
      </c>
      <c r="O988" s="33" t="str">
        <f>IF(Account!$F988&lt;&gt;"", DATEVALUE(MID($A988,4,3) &amp; LEFT($A988,3) &amp; RIGHT($A988,4)) + TIMEVALUE($B988), "")</f>
        <v/>
      </c>
      <c r="P988" s="34" t="str">
        <f>IF(Account!$F988&lt;&gt;"", DATEVALUE(MID($C988,4,3) &amp; LEFT($C988,3) &amp; RIGHT($C988,4)), "")</f>
        <v/>
      </c>
      <c r="Q988" s="35" t="str">
        <f t="array" ref="Q988">IF($R988&lt;&gt;"",IFERROR(INDEX(Investment!$A:$A,MATCH($R988,Investment!$H:$H,0))),)</f>
        <v/>
      </c>
      <c r="R988" s="36" t="str">
        <f t="array" ref="R988">IF(AND($Y988="change",$H988="EUR"),IF(AND($AA988="Crédit",$O988=$O989),$R989,IF(AND($AA988="Débit",$O988=$O987),$R987)),IF(OR(AND(OR($E988&lt;&gt;"",$M988=""),$N988&lt;&gt;0),$A988=""),IFERROR(INDEX(Investment!$H:$H,MATCH($E988,Investment!$F:$F,0))),IFERROR(INDEX($R989:$R1119,MATCH(SUBSTITUTE($I988,"-","",1),$K989:$K1119,0)),INDEX($R989:$R1119,MATCH($K988,$K989:$K1119,0)))))</f>
        <v/>
      </c>
      <c r="S988" s="35" t="str">
        <f t="shared" si="2"/>
        <v/>
      </c>
      <c r="T988" s="37" t="str">
        <f t="shared" si="3"/>
        <v/>
      </c>
      <c r="U988" s="38" t="str">
        <f t="shared" si="4"/>
        <v/>
      </c>
      <c r="V988" s="31" t="str">
        <f t="shared" si="5"/>
        <v/>
      </c>
      <c r="W988" s="39" t="str">
        <f>IFERROR(__xludf.DUMMYFUNCTION(" IF(Account!$F988&lt;&gt;"""", SPLIT(Account!$F988, "" ""), """")"),"")</f>
        <v/>
      </c>
      <c r="X988" s="40"/>
      <c r="Y988" s="40"/>
      <c r="Z988" s="40"/>
      <c r="AA988" s="40"/>
      <c r="AB988" s="40"/>
      <c r="AC988" s="40"/>
      <c r="AD988" s="40"/>
      <c r="AE988" s="40"/>
      <c r="AF988" s="40"/>
      <c r="AG988" s="40"/>
      <c r="AH988" s="40"/>
      <c r="AI988" s="40"/>
      <c r="AJ988" s="40"/>
      <c r="AK988" s="40"/>
    </row>
    <row r="989">
      <c r="A989" s="300"/>
      <c r="B989" s="300"/>
      <c r="C989" s="300"/>
      <c r="D989" s="300"/>
      <c r="E989" s="300"/>
      <c r="F989" s="329"/>
      <c r="G989" s="300"/>
      <c r="H989" s="300"/>
      <c r="I989" s="300"/>
      <c r="J989" s="300"/>
      <c r="K989" s="300"/>
      <c r="L989" s="329"/>
      <c r="M989" s="29" t="str">
        <f t="shared" si="1"/>
        <v/>
      </c>
      <c r="N989" s="31" t="str">
        <f>IFERROR(__xludf.DUMMYFUNCTION("IF(Account!$F989&lt;&gt;"""", VALUE(REGEXREPLACE($I989, ""\,"", ""."")), """")"),"")</f>
        <v/>
      </c>
      <c r="O989" s="33" t="str">
        <f>IF(Account!$F989&lt;&gt;"", DATEVALUE(MID($A989,4,3) &amp; LEFT($A989,3) &amp; RIGHT($A989,4)) + TIMEVALUE($B989), "")</f>
        <v/>
      </c>
      <c r="P989" s="34" t="str">
        <f>IF(Account!$F989&lt;&gt;"", DATEVALUE(MID($C989,4,3) &amp; LEFT($C989,3) &amp; RIGHT($C989,4)), "")</f>
        <v/>
      </c>
      <c r="Q989" s="35" t="str">
        <f t="array" ref="Q989">IF($R989&lt;&gt;"",IFERROR(INDEX(Investment!$A:$A,MATCH($R989,Investment!$H:$H,0))),)</f>
        <v/>
      </c>
      <c r="R989" s="36" t="str">
        <f t="array" ref="R989">IF(AND($Y989="change",$H989="EUR"),IF(AND($AA989="Crédit",$O989=$O990),$R990,IF(AND($AA989="Débit",$O989=$O988),$R988)),IF(OR(AND(OR($E989&lt;&gt;"",$M989=""),$N989&lt;&gt;0),$A989=""),IFERROR(INDEX(Investment!$H:$H,MATCH($E989,Investment!$F:$F,0))),IFERROR(INDEX($R990:$R1119,MATCH(SUBSTITUTE($I989,"-","",1),$K990:$K1119,0)),INDEX($R990:$R1119,MATCH($K989,$K990:$K1119,0)))))</f>
        <v/>
      </c>
      <c r="S989" s="35" t="str">
        <f t="shared" si="2"/>
        <v/>
      </c>
      <c r="T989" s="37" t="str">
        <f t="shared" si="3"/>
        <v/>
      </c>
      <c r="U989" s="38" t="str">
        <f t="shared" si="4"/>
        <v/>
      </c>
      <c r="V989" s="31" t="str">
        <f t="shared" si="5"/>
        <v/>
      </c>
      <c r="W989" s="39" t="str">
        <f>IFERROR(__xludf.DUMMYFUNCTION(" IF(Account!$F989&lt;&gt;"""", SPLIT(Account!$F989, "" ""), """")"),"")</f>
        <v/>
      </c>
      <c r="X989" s="40"/>
      <c r="Y989" s="40"/>
      <c r="Z989" s="40"/>
      <c r="AA989" s="40"/>
      <c r="AB989" s="40"/>
      <c r="AC989" s="40"/>
      <c r="AD989" s="40"/>
      <c r="AE989" s="40"/>
      <c r="AF989" s="40"/>
      <c r="AG989" s="40"/>
      <c r="AH989" s="40"/>
      <c r="AI989" s="40"/>
      <c r="AJ989" s="40"/>
      <c r="AK989" s="40"/>
    </row>
    <row r="990">
      <c r="A990" s="300"/>
      <c r="B990" s="300"/>
      <c r="C990" s="300"/>
      <c r="D990" s="300"/>
      <c r="E990" s="300"/>
      <c r="F990" s="329"/>
      <c r="G990" s="300"/>
      <c r="H990" s="300"/>
      <c r="I990" s="300"/>
      <c r="J990" s="300"/>
      <c r="K990" s="300"/>
      <c r="L990" s="329"/>
      <c r="M990" s="29" t="str">
        <f t="shared" si="1"/>
        <v/>
      </c>
      <c r="N990" s="31" t="str">
        <f>IFERROR(__xludf.DUMMYFUNCTION("IF(Account!$F990&lt;&gt;"""", VALUE(REGEXREPLACE($I990, ""\,"", ""."")), """")"),"")</f>
        <v/>
      </c>
      <c r="O990" s="33" t="str">
        <f>IF(Account!$F990&lt;&gt;"", DATEVALUE(MID($A990,4,3) &amp; LEFT($A990,3) &amp; RIGHT($A990,4)) + TIMEVALUE($B990), "")</f>
        <v/>
      </c>
      <c r="P990" s="34" t="str">
        <f>IF(Account!$F990&lt;&gt;"", DATEVALUE(MID($C990,4,3) &amp; LEFT($C990,3) &amp; RIGHT($C990,4)), "")</f>
        <v/>
      </c>
      <c r="Q990" s="35" t="str">
        <f t="array" ref="Q990">IF($R990&lt;&gt;"",IFERROR(INDEX(Investment!$A:$A,MATCH($R990,Investment!$H:$H,0))),)</f>
        <v/>
      </c>
      <c r="R990" s="36" t="str">
        <f t="array" ref="R990">IF(AND($Y990="change",$H990="EUR"),IF(AND($AA990="Crédit",$O990=$O991),$R991,IF(AND($AA990="Débit",$O990=$O989),$R989)),IF(OR(AND(OR($E990&lt;&gt;"",$M990=""),$N990&lt;&gt;0),$A990=""),IFERROR(INDEX(Investment!$H:$H,MATCH($E990,Investment!$F:$F,0))),IFERROR(INDEX($R991:$R1119,MATCH(SUBSTITUTE($I990,"-","",1),$K991:$K1119,0)),INDEX($R991:$R1119,MATCH($K990,$K991:$K1119,0)))))</f>
        <v/>
      </c>
      <c r="S990" s="35" t="str">
        <f t="shared" si="2"/>
        <v/>
      </c>
      <c r="T990" s="37" t="str">
        <f t="shared" si="3"/>
        <v/>
      </c>
      <c r="U990" s="38" t="str">
        <f t="shared" si="4"/>
        <v/>
      </c>
      <c r="V990" s="31" t="str">
        <f t="shared" si="5"/>
        <v/>
      </c>
      <c r="W990" s="39" t="str">
        <f>IFERROR(__xludf.DUMMYFUNCTION(" IF(Account!$F990&lt;&gt;"""", SPLIT(Account!$F990, "" ""), """")"),"")</f>
        <v/>
      </c>
      <c r="X990" s="40"/>
      <c r="Y990" s="40"/>
      <c r="Z990" s="40"/>
      <c r="AA990" s="40"/>
      <c r="AB990" s="40"/>
      <c r="AC990" s="40"/>
      <c r="AD990" s="40"/>
      <c r="AE990" s="40"/>
      <c r="AF990" s="40"/>
      <c r="AG990" s="40"/>
      <c r="AH990" s="40"/>
      <c r="AI990" s="40"/>
      <c r="AJ990" s="40"/>
      <c r="AK990" s="40"/>
    </row>
    <row r="991">
      <c r="A991" s="300"/>
      <c r="B991" s="300"/>
      <c r="C991" s="300"/>
      <c r="D991" s="300"/>
      <c r="E991" s="300"/>
      <c r="F991" s="329"/>
      <c r="G991" s="300"/>
      <c r="H991" s="300"/>
      <c r="I991" s="300"/>
      <c r="J991" s="300"/>
      <c r="K991" s="300"/>
      <c r="L991" s="329"/>
      <c r="M991" s="29" t="str">
        <f t="shared" si="1"/>
        <v/>
      </c>
      <c r="N991" s="31" t="str">
        <f>IFERROR(__xludf.DUMMYFUNCTION("IF(Account!$F991&lt;&gt;"""", VALUE(REGEXREPLACE($I991, ""\,"", ""."")), """")"),"")</f>
        <v/>
      </c>
      <c r="O991" s="33" t="str">
        <f>IF(Account!$F991&lt;&gt;"", DATEVALUE(MID($A991,4,3) &amp; LEFT($A991,3) &amp; RIGHT($A991,4)) + TIMEVALUE($B991), "")</f>
        <v/>
      </c>
      <c r="P991" s="34" t="str">
        <f>IF(Account!$F991&lt;&gt;"", DATEVALUE(MID($C991,4,3) &amp; LEFT($C991,3) &amp; RIGHT($C991,4)), "")</f>
        <v/>
      </c>
      <c r="Q991" s="35" t="str">
        <f t="array" ref="Q991">IF($R991&lt;&gt;"",IFERROR(INDEX(Investment!$A:$A,MATCH($R991,Investment!$H:$H,0))),)</f>
        <v/>
      </c>
      <c r="R991" s="36" t="str">
        <f t="array" ref="R991">IF(AND($Y991="change",$H991="EUR"),IF(AND($AA991="Crédit",$O991=$O992),$R992,IF(AND($AA991="Débit",$O991=$O990),$R990)),IF(OR(AND(OR($E991&lt;&gt;"",$M991=""),$N991&lt;&gt;0),$A991=""),IFERROR(INDEX(Investment!$H:$H,MATCH($E991,Investment!$F:$F,0))),IFERROR(INDEX($R992:$R1119,MATCH(SUBSTITUTE($I991,"-","",1),$K992:$K1119,0)),INDEX($R992:$R1119,MATCH($K991,$K992:$K1119,0)))))</f>
        <v/>
      </c>
      <c r="S991" s="35" t="str">
        <f t="shared" si="2"/>
        <v/>
      </c>
      <c r="T991" s="37" t="str">
        <f t="shared" si="3"/>
        <v/>
      </c>
      <c r="U991" s="38" t="str">
        <f t="shared" si="4"/>
        <v/>
      </c>
      <c r="V991" s="31" t="str">
        <f t="shared" si="5"/>
        <v/>
      </c>
      <c r="W991" s="39" t="str">
        <f>IFERROR(__xludf.DUMMYFUNCTION(" IF(Account!$F991&lt;&gt;"""", SPLIT(Account!$F991, "" ""), """")"),"")</f>
        <v/>
      </c>
      <c r="X991" s="40"/>
      <c r="Y991" s="40"/>
      <c r="Z991" s="40"/>
      <c r="AA991" s="40"/>
      <c r="AB991" s="40"/>
      <c r="AC991" s="40"/>
      <c r="AD991" s="40"/>
      <c r="AE991" s="40"/>
      <c r="AF991" s="40"/>
      <c r="AG991" s="40"/>
      <c r="AH991" s="40"/>
      <c r="AI991" s="40"/>
      <c r="AJ991" s="40"/>
      <c r="AK991" s="40"/>
    </row>
    <row r="992">
      <c r="A992" s="300"/>
      <c r="B992" s="300"/>
      <c r="C992" s="300"/>
      <c r="D992" s="300"/>
      <c r="E992" s="300"/>
      <c r="F992" s="329"/>
      <c r="G992" s="300"/>
      <c r="H992" s="300"/>
      <c r="I992" s="300"/>
      <c r="J992" s="300"/>
      <c r="K992" s="300"/>
      <c r="L992" s="329"/>
      <c r="M992" s="29" t="str">
        <f t="shared" si="1"/>
        <v/>
      </c>
      <c r="N992" s="31" t="str">
        <f>IFERROR(__xludf.DUMMYFUNCTION("IF(Account!$F992&lt;&gt;"""", VALUE(REGEXREPLACE($I992, ""\,"", ""."")), """")"),"")</f>
        <v/>
      </c>
      <c r="O992" s="33" t="str">
        <f>IF(Account!$F992&lt;&gt;"", DATEVALUE(MID($A992,4,3) &amp; LEFT($A992,3) &amp; RIGHT($A992,4)) + TIMEVALUE($B992), "")</f>
        <v/>
      </c>
      <c r="P992" s="34" t="str">
        <f>IF(Account!$F992&lt;&gt;"", DATEVALUE(MID($C992,4,3) &amp; LEFT($C992,3) &amp; RIGHT($C992,4)), "")</f>
        <v/>
      </c>
      <c r="Q992" s="35" t="str">
        <f t="array" ref="Q992">IF($R992&lt;&gt;"",IFERROR(INDEX(Investment!$A:$A,MATCH($R992,Investment!$H:$H,0))),)</f>
        <v/>
      </c>
      <c r="R992" s="36" t="str">
        <f t="array" ref="R992">IF(AND($Y992="change",$H992="EUR"),IF(AND($AA992="Crédit",$O992=$O993),$R993,IF(AND($AA992="Débit",$O992=$O991),$R991)),IF(OR(AND(OR($E992&lt;&gt;"",$M992=""),$N992&lt;&gt;0),$A992=""),IFERROR(INDEX(Investment!$H:$H,MATCH($E992,Investment!$F:$F,0))),IFERROR(INDEX($R993:$R1119,MATCH(SUBSTITUTE($I992,"-","",1),$K993:$K1119,0)),INDEX($R993:$R1119,MATCH($K992,$K993:$K1119,0)))))</f>
        <v/>
      </c>
      <c r="S992" s="35" t="str">
        <f t="shared" si="2"/>
        <v/>
      </c>
      <c r="T992" s="37" t="str">
        <f t="shared" si="3"/>
        <v/>
      </c>
      <c r="U992" s="38" t="str">
        <f t="shared" si="4"/>
        <v/>
      </c>
      <c r="V992" s="31" t="str">
        <f t="shared" si="5"/>
        <v/>
      </c>
      <c r="W992" s="39" t="str">
        <f>IFERROR(__xludf.DUMMYFUNCTION(" IF(Account!$F992&lt;&gt;"""", SPLIT(Account!$F992, "" ""), """")"),"")</f>
        <v/>
      </c>
      <c r="X992" s="40"/>
      <c r="Y992" s="40"/>
      <c r="Z992" s="40"/>
      <c r="AA992" s="40"/>
      <c r="AB992" s="40"/>
      <c r="AC992" s="40"/>
      <c r="AD992" s="40"/>
      <c r="AE992" s="40"/>
      <c r="AF992" s="40"/>
      <c r="AG992" s="40"/>
      <c r="AH992" s="40"/>
      <c r="AI992" s="40"/>
      <c r="AJ992" s="40"/>
      <c r="AK992" s="40"/>
    </row>
    <row r="993">
      <c r="A993" s="300"/>
      <c r="B993" s="300"/>
      <c r="C993" s="300"/>
      <c r="D993" s="300"/>
      <c r="E993" s="300"/>
      <c r="F993" s="329"/>
      <c r="G993" s="300"/>
      <c r="H993" s="300"/>
      <c r="I993" s="300"/>
      <c r="J993" s="300"/>
      <c r="K993" s="300"/>
      <c r="L993" s="329"/>
      <c r="M993" s="29" t="str">
        <f t="shared" si="1"/>
        <v/>
      </c>
      <c r="N993" s="31" t="str">
        <f>IFERROR(__xludf.DUMMYFUNCTION("IF(Account!$F993&lt;&gt;"""", VALUE(REGEXREPLACE($I993, ""\,"", ""."")), """")"),"")</f>
        <v/>
      </c>
      <c r="O993" s="33" t="str">
        <f>IF(Account!$F993&lt;&gt;"", DATEVALUE(MID($A993,4,3) &amp; LEFT($A993,3) &amp; RIGHT($A993,4)) + TIMEVALUE($B993), "")</f>
        <v/>
      </c>
      <c r="P993" s="34" t="str">
        <f>IF(Account!$F993&lt;&gt;"", DATEVALUE(MID($C993,4,3) &amp; LEFT($C993,3) &amp; RIGHT($C993,4)), "")</f>
        <v/>
      </c>
      <c r="Q993" s="35" t="str">
        <f t="array" ref="Q993">IF($R993&lt;&gt;"",IFERROR(INDEX(Investment!$A:$A,MATCH($R993,Investment!$H:$H,0))),)</f>
        <v/>
      </c>
      <c r="R993" s="36" t="str">
        <f t="array" ref="R993">IF(AND($Y993="change",$H993="EUR"),IF(AND($AA993="Crédit",$O993=$O994),$R994,IF(AND($AA993="Débit",$O993=$O992),$R992)),IF(OR(AND(OR($E993&lt;&gt;"",$M993=""),$N993&lt;&gt;0),$A993=""),IFERROR(INDEX(Investment!$H:$H,MATCH($E993,Investment!$F:$F,0))),IFERROR(INDEX($R994:$R1119,MATCH(SUBSTITUTE($I993,"-","",1),$K994:$K1119,0)),INDEX($R994:$R1119,MATCH($K993,$K994:$K1119,0)))))</f>
        <v/>
      </c>
      <c r="S993" s="35" t="str">
        <f t="shared" si="2"/>
        <v/>
      </c>
      <c r="T993" s="37" t="str">
        <f t="shared" si="3"/>
        <v/>
      </c>
      <c r="U993" s="38" t="str">
        <f t="shared" si="4"/>
        <v/>
      </c>
      <c r="V993" s="31" t="str">
        <f t="shared" si="5"/>
        <v/>
      </c>
      <c r="W993" s="39" t="str">
        <f>IFERROR(__xludf.DUMMYFUNCTION(" IF(Account!$F993&lt;&gt;"""", SPLIT(Account!$F993, "" ""), """")"),"")</f>
        <v/>
      </c>
      <c r="X993" s="40"/>
      <c r="Y993" s="40"/>
      <c r="Z993" s="40"/>
      <c r="AA993" s="40"/>
      <c r="AB993" s="40"/>
      <c r="AC993" s="40"/>
      <c r="AD993" s="40"/>
      <c r="AE993" s="40"/>
      <c r="AF993" s="40"/>
      <c r="AG993" s="40"/>
      <c r="AH993" s="40"/>
      <c r="AI993" s="40"/>
      <c r="AJ993" s="40"/>
      <c r="AK993" s="40"/>
    </row>
    <row r="994">
      <c r="A994" s="300"/>
      <c r="B994" s="300"/>
      <c r="C994" s="300"/>
      <c r="D994" s="300"/>
      <c r="E994" s="300"/>
      <c r="F994" s="329"/>
      <c r="G994" s="300"/>
      <c r="H994" s="300"/>
      <c r="I994" s="300"/>
      <c r="J994" s="300"/>
      <c r="K994" s="300"/>
      <c r="L994" s="329"/>
      <c r="M994" s="29" t="str">
        <f t="shared" si="1"/>
        <v/>
      </c>
      <c r="N994" s="31" t="str">
        <f>IFERROR(__xludf.DUMMYFUNCTION("IF(Account!$F994&lt;&gt;"""", VALUE(REGEXREPLACE($I994, ""\,"", ""."")), """")"),"")</f>
        <v/>
      </c>
      <c r="O994" s="33" t="str">
        <f>IF(Account!$F994&lt;&gt;"", DATEVALUE(MID($A994,4,3) &amp; LEFT($A994,3) &amp; RIGHT($A994,4)) + TIMEVALUE($B994), "")</f>
        <v/>
      </c>
      <c r="P994" s="34" t="str">
        <f>IF(Account!$F994&lt;&gt;"", DATEVALUE(MID($C994,4,3) &amp; LEFT($C994,3) &amp; RIGHT($C994,4)), "")</f>
        <v/>
      </c>
      <c r="Q994" s="35" t="str">
        <f t="array" ref="Q994">IF($R994&lt;&gt;"",IFERROR(INDEX(Investment!$A:$A,MATCH($R994,Investment!$H:$H,0))),)</f>
        <v/>
      </c>
      <c r="R994" s="36" t="str">
        <f t="array" ref="R994">IF(AND($Y994="change",$H994="EUR"),IF(AND($AA994="Crédit",$O994=$O995),$R995,IF(AND($AA994="Débit",$O994=$O993),$R993)),IF(OR(AND(OR($E994&lt;&gt;"",$M994=""),$N994&lt;&gt;0),$A994=""),IFERROR(INDEX(Investment!$H:$H,MATCH($E994,Investment!$F:$F,0))),IFERROR(INDEX($R995:$R1119,MATCH(SUBSTITUTE($I994,"-","",1),$K995:$K1119,0)),INDEX($R995:$R1119,MATCH($K994,$K995:$K1119,0)))))</f>
        <v/>
      </c>
      <c r="S994" s="35" t="str">
        <f t="shared" si="2"/>
        <v/>
      </c>
      <c r="T994" s="37" t="str">
        <f t="shared" si="3"/>
        <v/>
      </c>
      <c r="U994" s="38" t="str">
        <f t="shared" si="4"/>
        <v/>
      </c>
      <c r="V994" s="31" t="str">
        <f t="shared" si="5"/>
        <v/>
      </c>
      <c r="W994" s="39" t="str">
        <f>IFERROR(__xludf.DUMMYFUNCTION(" IF(Account!$F994&lt;&gt;"""", SPLIT(Account!$F994, "" ""), """")"),"")</f>
        <v/>
      </c>
      <c r="X994" s="40"/>
      <c r="Y994" s="40"/>
      <c r="Z994" s="40"/>
      <c r="AA994" s="40"/>
      <c r="AB994" s="40"/>
      <c r="AC994" s="40"/>
      <c r="AD994" s="40"/>
      <c r="AE994" s="40"/>
      <c r="AF994" s="40"/>
      <c r="AG994" s="40"/>
      <c r="AH994" s="40"/>
      <c r="AI994" s="40"/>
      <c r="AJ994" s="40"/>
      <c r="AK994" s="40"/>
    </row>
    <row r="995">
      <c r="A995" s="300"/>
      <c r="B995" s="300"/>
      <c r="C995" s="300"/>
      <c r="D995" s="300"/>
      <c r="E995" s="300"/>
      <c r="F995" s="329"/>
      <c r="G995" s="300"/>
      <c r="H995" s="300"/>
      <c r="I995" s="300"/>
      <c r="J995" s="300"/>
      <c r="K995" s="300"/>
      <c r="L995" s="329"/>
      <c r="M995" s="29" t="str">
        <f t="shared" si="1"/>
        <v/>
      </c>
      <c r="N995" s="31" t="str">
        <f>IFERROR(__xludf.DUMMYFUNCTION("IF(Account!$F995&lt;&gt;"""", VALUE(REGEXREPLACE($I995, ""\,"", ""."")), """")"),"")</f>
        <v/>
      </c>
      <c r="O995" s="33" t="str">
        <f>IF(Account!$F995&lt;&gt;"", DATEVALUE(MID($A995,4,3) &amp; LEFT($A995,3) &amp; RIGHT($A995,4)) + TIMEVALUE($B995), "")</f>
        <v/>
      </c>
      <c r="P995" s="34" t="str">
        <f>IF(Account!$F995&lt;&gt;"", DATEVALUE(MID($C995,4,3) &amp; LEFT($C995,3) &amp; RIGHT($C995,4)), "")</f>
        <v/>
      </c>
      <c r="Q995" s="35" t="str">
        <f t="array" ref="Q995">IF($R995&lt;&gt;"",IFERROR(INDEX(Investment!$A:$A,MATCH($R995,Investment!$H:$H,0))),)</f>
        <v/>
      </c>
      <c r="R995" s="36" t="str">
        <f t="array" ref="R995">IF(AND($Y995="change",$H995="EUR"),IF(AND($AA995="Crédit",$O995=$O996),$R996,IF(AND($AA995="Débit",$O995=$O994),$R994)),IF(OR(AND(OR($E995&lt;&gt;"",$M995=""),$N995&lt;&gt;0),$A995=""),IFERROR(INDEX(Investment!$H:$H,MATCH($E995,Investment!$F:$F,0))),IFERROR(INDEX($R996:$R1119,MATCH(SUBSTITUTE($I995,"-","",1),$K996:$K1119,0)),INDEX($R996:$R1119,MATCH($K995,$K996:$K1119,0)))))</f>
        <v/>
      </c>
      <c r="S995" s="35" t="str">
        <f t="shared" si="2"/>
        <v/>
      </c>
      <c r="T995" s="37" t="str">
        <f t="shared" si="3"/>
        <v/>
      </c>
      <c r="U995" s="38" t="str">
        <f t="shared" si="4"/>
        <v/>
      </c>
      <c r="V995" s="31" t="str">
        <f t="shared" si="5"/>
        <v/>
      </c>
      <c r="W995" s="39" t="str">
        <f>IFERROR(__xludf.DUMMYFUNCTION(" IF(Account!$F995&lt;&gt;"""", SPLIT(Account!$F995, "" ""), """")"),"")</f>
        <v/>
      </c>
      <c r="X995" s="40"/>
      <c r="Y995" s="40"/>
      <c r="Z995" s="40"/>
      <c r="AA995" s="40"/>
      <c r="AB995" s="40"/>
      <c r="AC995" s="40"/>
      <c r="AD995" s="40"/>
      <c r="AE995" s="40"/>
      <c r="AF995" s="40"/>
      <c r="AG995" s="40"/>
      <c r="AH995" s="40"/>
      <c r="AI995" s="40"/>
      <c r="AJ995" s="40"/>
      <c r="AK995" s="40"/>
    </row>
    <row r="996">
      <c r="A996" s="300"/>
      <c r="B996" s="300"/>
      <c r="C996" s="300"/>
      <c r="D996" s="300"/>
      <c r="E996" s="300"/>
      <c r="F996" s="329"/>
      <c r="G996" s="300"/>
      <c r="H996" s="300"/>
      <c r="I996" s="300"/>
      <c r="J996" s="300"/>
      <c r="K996" s="300"/>
      <c r="L996" s="329"/>
      <c r="M996" s="29" t="str">
        <f t="shared" si="1"/>
        <v/>
      </c>
      <c r="N996" s="31" t="str">
        <f>IFERROR(__xludf.DUMMYFUNCTION("IF(Account!$F996&lt;&gt;"""", VALUE(REGEXREPLACE($I996, ""\,"", ""."")), """")"),"")</f>
        <v/>
      </c>
      <c r="O996" s="33" t="str">
        <f>IF(Account!$F996&lt;&gt;"", DATEVALUE(MID($A996,4,3) &amp; LEFT($A996,3) &amp; RIGHT($A996,4)) + TIMEVALUE($B996), "")</f>
        <v/>
      </c>
      <c r="P996" s="34" t="str">
        <f>IF(Account!$F996&lt;&gt;"", DATEVALUE(MID($C996,4,3) &amp; LEFT($C996,3) &amp; RIGHT($C996,4)), "")</f>
        <v/>
      </c>
      <c r="Q996" s="35" t="str">
        <f t="array" ref="Q996">IF($R996&lt;&gt;"",IFERROR(INDEX(Investment!$A:$A,MATCH($R996,Investment!$H:$H,0))),)</f>
        <v/>
      </c>
      <c r="R996" s="36" t="str">
        <f t="array" ref="R996">IF(AND($Y996="change",$H996="EUR"),IF(AND($AA996="Crédit",$O996=$O997),$R997,IF(AND($AA996="Débit",$O996=$O995),$R995)),IF(OR(AND(OR($E996&lt;&gt;"",$M996=""),$N996&lt;&gt;0),$A996=""),IFERROR(INDEX(Investment!$H:$H,MATCH($E996,Investment!$F:$F,0))),IFERROR(INDEX($R997:$R1119,MATCH(SUBSTITUTE($I996,"-","",1),$K997:$K1119,0)),INDEX($R997:$R1119,MATCH($K996,$K997:$K1119,0)))))</f>
        <v/>
      </c>
      <c r="S996" s="35" t="str">
        <f t="shared" si="2"/>
        <v/>
      </c>
      <c r="T996" s="37" t="str">
        <f t="shared" si="3"/>
        <v/>
      </c>
      <c r="U996" s="38" t="str">
        <f t="shared" si="4"/>
        <v/>
      </c>
      <c r="V996" s="31" t="str">
        <f t="shared" si="5"/>
        <v/>
      </c>
      <c r="W996" s="39" t="str">
        <f>IFERROR(__xludf.DUMMYFUNCTION(" IF(Account!$F996&lt;&gt;"""", SPLIT(Account!$F996, "" ""), """")"),"")</f>
        <v/>
      </c>
      <c r="X996" s="40"/>
      <c r="Y996" s="40"/>
      <c r="Z996" s="40"/>
      <c r="AA996" s="40"/>
      <c r="AB996" s="40"/>
      <c r="AC996" s="40"/>
      <c r="AD996" s="40"/>
      <c r="AE996" s="40"/>
      <c r="AF996" s="40"/>
      <c r="AG996" s="40"/>
      <c r="AH996" s="40"/>
      <c r="AI996" s="40"/>
      <c r="AJ996" s="40"/>
      <c r="AK996" s="40"/>
    </row>
    <row r="997">
      <c r="A997" s="300"/>
      <c r="B997" s="300"/>
      <c r="C997" s="300"/>
      <c r="D997" s="300"/>
      <c r="E997" s="300"/>
      <c r="F997" s="329"/>
      <c r="G997" s="300"/>
      <c r="H997" s="300"/>
      <c r="I997" s="300"/>
      <c r="J997" s="300"/>
      <c r="K997" s="300"/>
      <c r="L997" s="329"/>
      <c r="M997" s="29" t="str">
        <f t="shared" si="1"/>
        <v/>
      </c>
      <c r="N997" s="31" t="str">
        <f>IFERROR(__xludf.DUMMYFUNCTION("IF(Account!$F997&lt;&gt;"""", VALUE(REGEXREPLACE($I997, ""\,"", ""."")), """")"),"")</f>
        <v/>
      </c>
      <c r="O997" s="33" t="str">
        <f>IF(Account!$F997&lt;&gt;"", DATEVALUE(MID($A997,4,3) &amp; LEFT($A997,3) &amp; RIGHT($A997,4)) + TIMEVALUE($B997), "")</f>
        <v/>
      </c>
      <c r="P997" s="34" t="str">
        <f>IF(Account!$F997&lt;&gt;"", DATEVALUE(MID($C997,4,3) &amp; LEFT($C997,3) &amp; RIGHT($C997,4)), "")</f>
        <v/>
      </c>
      <c r="Q997" s="35" t="str">
        <f t="array" ref="Q997">IF($R997&lt;&gt;"",IFERROR(INDEX(Investment!$A:$A,MATCH($R997,Investment!$H:$H,0))),)</f>
        <v/>
      </c>
      <c r="R997" s="36" t="str">
        <f t="array" ref="R997">IF(AND($Y997="change",$H997="EUR"),IF(AND($AA997="Crédit",$O997=$O998),$R998,IF(AND($AA997="Débit",$O997=$O996),$R996)),IF(OR(AND(OR($E997&lt;&gt;"",$M997=""),$N997&lt;&gt;0),$A997=""),IFERROR(INDEX(Investment!$H:$H,MATCH($E997,Investment!$F:$F,0))),IFERROR(INDEX($R998:$R1119,MATCH(SUBSTITUTE($I997,"-","",1),$K998:$K1119,0)),INDEX($R998:$R1119,MATCH($K997,$K998:$K1119,0)))))</f>
        <v/>
      </c>
      <c r="S997" s="35" t="str">
        <f t="shared" si="2"/>
        <v/>
      </c>
      <c r="T997" s="37" t="str">
        <f t="shared" si="3"/>
        <v/>
      </c>
      <c r="U997" s="38" t="str">
        <f t="shared" si="4"/>
        <v/>
      </c>
      <c r="V997" s="31" t="str">
        <f t="shared" si="5"/>
        <v/>
      </c>
      <c r="W997" s="39" t="str">
        <f>IFERROR(__xludf.DUMMYFUNCTION(" IF(Account!$F997&lt;&gt;"""", SPLIT(Account!$F997, "" ""), """")"),"")</f>
        <v/>
      </c>
      <c r="X997" s="40"/>
      <c r="Y997" s="40"/>
      <c r="Z997" s="40"/>
      <c r="AA997" s="40"/>
      <c r="AB997" s="40"/>
      <c r="AC997" s="40"/>
      <c r="AD997" s="40"/>
      <c r="AE997" s="40"/>
      <c r="AF997" s="40"/>
      <c r="AG997" s="40"/>
      <c r="AH997" s="40"/>
      <c r="AI997" s="40"/>
      <c r="AJ997" s="40"/>
      <c r="AK997" s="40"/>
    </row>
    <row r="998">
      <c r="A998" s="300"/>
      <c r="B998" s="300"/>
      <c r="C998" s="300"/>
      <c r="D998" s="300"/>
      <c r="E998" s="300"/>
      <c r="F998" s="329"/>
      <c r="G998" s="300"/>
      <c r="H998" s="300"/>
      <c r="I998" s="300"/>
      <c r="J998" s="300"/>
      <c r="K998" s="300"/>
      <c r="L998" s="329"/>
      <c r="M998" s="29" t="str">
        <f t="shared" si="1"/>
        <v/>
      </c>
      <c r="N998" s="31" t="str">
        <f>IFERROR(__xludf.DUMMYFUNCTION("IF(Account!$F998&lt;&gt;"""", VALUE(REGEXREPLACE($I998, ""\,"", ""."")), """")"),"")</f>
        <v/>
      </c>
      <c r="O998" s="33" t="str">
        <f>IF(Account!$F998&lt;&gt;"", DATEVALUE(MID($A998,4,3) &amp; LEFT($A998,3) &amp; RIGHT($A998,4)) + TIMEVALUE($B998), "")</f>
        <v/>
      </c>
      <c r="P998" s="34" t="str">
        <f>IF(Account!$F998&lt;&gt;"", DATEVALUE(MID($C998,4,3) &amp; LEFT($C998,3) &amp; RIGHT($C998,4)), "")</f>
        <v/>
      </c>
      <c r="Q998" s="35" t="str">
        <f t="array" ref="Q998">IF($R998&lt;&gt;"",IFERROR(INDEX(Investment!$A:$A,MATCH($R998,Investment!$H:$H,0))),)</f>
        <v/>
      </c>
      <c r="R998" s="36" t="str">
        <f t="array" ref="R998">IF(AND($Y998="change",$H998="EUR"),IF(AND($AA998="Crédit",$O998=$O999),$R999,IF(AND($AA998="Débit",$O998=$O997),$R997)),IF(OR(AND(OR($E998&lt;&gt;"",$M998=""),$N998&lt;&gt;0),$A998=""),IFERROR(INDEX(Investment!$H:$H,MATCH($E998,Investment!$F:$F,0))),IFERROR(INDEX($R999:$R1119,MATCH(SUBSTITUTE($I998,"-","",1),$K999:$K1119,0)),INDEX($R999:$R1119,MATCH($K998,$K999:$K1119,0)))))</f>
        <v/>
      </c>
      <c r="S998" s="35" t="str">
        <f t="shared" si="2"/>
        <v/>
      </c>
      <c r="T998" s="37" t="str">
        <f t="shared" si="3"/>
        <v/>
      </c>
      <c r="U998" s="38" t="str">
        <f t="shared" si="4"/>
        <v/>
      </c>
      <c r="V998" s="31" t="str">
        <f t="shared" si="5"/>
        <v/>
      </c>
      <c r="W998" s="39" t="str">
        <f>IFERROR(__xludf.DUMMYFUNCTION(" IF(Account!$F998&lt;&gt;"""", SPLIT(Account!$F998, "" ""), """")"),"")</f>
        <v/>
      </c>
      <c r="X998" s="40"/>
      <c r="Y998" s="40"/>
      <c r="Z998" s="40"/>
      <c r="AA998" s="40"/>
      <c r="AB998" s="40"/>
      <c r="AC998" s="40"/>
      <c r="AD998" s="40"/>
      <c r="AE998" s="40"/>
      <c r="AF998" s="40"/>
      <c r="AG998" s="40"/>
      <c r="AH998" s="40"/>
      <c r="AI998" s="40"/>
      <c r="AJ998" s="40"/>
      <c r="AK998" s="40"/>
    </row>
    <row r="999">
      <c r="A999" s="300"/>
      <c r="B999" s="300"/>
      <c r="C999" s="300"/>
      <c r="D999" s="300"/>
      <c r="E999" s="300"/>
      <c r="F999" s="329"/>
      <c r="G999" s="300"/>
      <c r="H999" s="300"/>
      <c r="I999" s="300"/>
      <c r="J999" s="300"/>
      <c r="K999" s="300"/>
      <c r="L999" s="329"/>
      <c r="M999" s="29" t="str">
        <f t="shared" si="1"/>
        <v/>
      </c>
      <c r="N999" s="31" t="str">
        <f>IFERROR(__xludf.DUMMYFUNCTION("IF(Account!$F999&lt;&gt;"""", VALUE(REGEXREPLACE($I999, ""\,"", ""."")), """")"),"")</f>
        <v/>
      </c>
      <c r="O999" s="33" t="str">
        <f>IF(Account!$F999&lt;&gt;"", DATEVALUE(MID($A999,4,3) &amp; LEFT($A999,3) &amp; RIGHT($A999,4)) + TIMEVALUE($B999), "")</f>
        <v/>
      </c>
      <c r="P999" s="34" t="str">
        <f>IF(Account!$F999&lt;&gt;"", DATEVALUE(MID($C999,4,3) &amp; LEFT($C999,3) &amp; RIGHT($C999,4)), "")</f>
        <v/>
      </c>
      <c r="Q999" s="35" t="str">
        <f t="array" ref="Q999">IF($R999&lt;&gt;"",IFERROR(INDEX(Investment!$A:$A,MATCH($R999,Investment!$H:$H,0))),)</f>
        <v/>
      </c>
      <c r="R999" s="36" t="str">
        <f t="array" ref="R999">IF(AND($Y999="change",$H999="EUR"),IF(AND($AA999="Crédit",$O999=$O1000),$R1000,IF(AND($AA999="Débit",$O999=$O998),$R998)),IF(OR(AND(OR($E999&lt;&gt;"",$M999=""),$N999&lt;&gt;0),$A999=""),IFERROR(INDEX(Investment!$H:$H,MATCH($E999,Investment!$F:$F,0))),IFERROR(INDEX($R1000:$R1119,MATCH(SUBSTITUTE($I999,"-","",1),$K1000:$K1119,0)),INDEX($R1000:$R1119,MATCH($K999,$K1000:$K1119,0)))))</f>
        <v/>
      </c>
      <c r="S999" s="35" t="str">
        <f t="shared" si="2"/>
        <v/>
      </c>
      <c r="T999" s="37" t="str">
        <f t="shared" si="3"/>
        <v/>
      </c>
      <c r="U999" s="38" t="str">
        <f t="shared" si="4"/>
        <v/>
      </c>
      <c r="V999" s="31" t="str">
        <f t="shared" si="5"/>
        <v/>
      </c>
      <c r="W999" s="39" t="str">
        <f>IFERROR(__xludf.DUMMYFUNCTION(" IF(Account!$F999&lt;&gt;"""", SPLIT(Account!$F999, "" ""), """")"),"")</f>
        <v/>
      </c>
      <c r="X999" s="40"/>
      <c r="Y999" s="40"/>
      <c r="Z999" s="40"/>
      <c r="AA999" s="40"/>
      <c r="AB999" s="40"/>
      <c r="AC999" s="40"/>
      <c r="AD999" s="40"/>
      <c r="AE999" s="40"/>
      <c r="AF999" s="40"/>
      <c r="AG999" s="40"/>
      <c r="AH999" s="40"/>
      <c r="AI999" s="40"/>
      <c r="AJ999" s="40"/>
      <c r="AK999" s="40"/>
    </row>
    <row r="1000">
      <c r="A1000" s="300"/>
      <c r="B1000" s="300"/>
      <c r="C1000" s="300"/>
      <c r="D1000" s="300"/>
      <c r="E1000" s="300"/>
      <c r="F1000" s="329"/>
      <c r="G1000" s="300"/>
      <c r="H1000" s="300"/>
      <c r="I1000" s="300"/>
      <c r="J1000" s="300"/>
      <c r="K1000" s="300"/>
      <c r="L1000" s="329"/>
      <c r="M1000" s="29" t="str">
        <f t="shared" si="1"/>
        <v/>
      </c>
      <c r="N1000" s="31" t="str">
        <f>IFERROR(__xludf.DUMMYFUNCTION("IF(Account!$F1000&lt;&gt;"""", VALUE(REGEXREPLACE($I1000, ""\,"", ""."")), """")"),"")</f>
        <v/>
      </c>
      <c r="O1000" s="33" t="str">
        <f>IF(Account!$F1000&lt;&gt;"", DATEVALUE(MID($A1000,4,3) &amp; LEFT($A1000,3) &amp; RIGHT($A1000,4)) + TIMEVALUE($B1000), "")</f>
        <v/>
      </c>
      <c r="P1000" s="34" t="str">
        <f>IF(Account!$F1000&lt;&gt;"", DATEVALUE(MID($C1000,4,3) &amp; LEFT($C1000,3) &amp; RIGHT($C1000,4)), "")</f>
        <v/>
      </c>
      <c r="Q1000" s="35" t="str">
        <f t="array" ref="Q1000">IF($R1000&lt;&gt;"",IFERROR(INDEX(Investment!$A:$A,MATCH($R1000,Investment!$H:$H,0))),)</f>
        <v/>
      </c>
      <c r="R1000" s="36" t="str">
        <f t="array" ref="R1000">IF(AND($Y1000="change",$H1000="EUR"),IF(AND($AA1000="Crédit",$O1000=$O1001),$R1001,IF(AND($AA1000="Débit",$O1000=$O999),$R999)),IF(OR(AND(OR($E1000&lt;&gt;"",$M1000=""),$N1000&lt;&gt;0),$A1000=""),IFERROR(INDEX(Investment!$H:$H,MATCH($E1000,Investment!$F:$F,0))),IFERROR(INDEX($R1001:$R1119,MATCH(SUBSTITUTE($I1000,"-","",1),$K1001:$K1119,0)),INDEX($R1001:$R1119,MATCH($K1000,$K1001:$K1119,0)))))</f>
        <v/>
      </c>
      <c r="S1000" s="35" t="str">
        <f t="shared" si="2"/>
        <v/>
      </c>
      <c r="T1000" s="37" t="str">
        <f t="shared" si="3"/>
        <v/>
      </c>
      <c r="U1000" s="38" t="str">
        <f t="shared" si="4"/>
        <v/>
      </c>
      <c r="V1000" s="31" t="str">
        <f t="shared" si="5"/>
        <v/>
      </c>
      <c r="W1000" s="39" t="str">
        <f>IFERROR(__xludf.DUMMYFUNCTION(" IF(Account!$F1000&lt;&gt;"""", SPLIT(Account!$F1000, "" ""), """")"),"")</f>
        <v/>
      </c>
      <c r="X1000" s="40"/>
      <c r="Y1000" s="40"/>
      <c r="Z1000" s="40"/>
      <c r="AA1000" s="40"/>
      <c r="AB1000" s="40"/>
      <c r="AC1000" s="40"/>
      <c r="AD1000" s="40"/>
      <c r="AE1000" s="40"/>
      <c r="AF1000" s="40"/>
      <c r="AG1000" s="40"/>
      <c r="AH1000" s="40"/>
      <c r="AI1000" s="40"/>
      <c r="AJ1000" s="40"/>
      <c r="AK1000" s="40"/>
    </row>
    <row r="1001">
      <c r="A1001" s="300"/>
      <c r="B1001" s="300"/>
      <c r="C1001" s="300"/>
      <c r="D1001" s="300"/>
      <c r="E1001" s="300"/>
      <c r="F1001" s="329"/>
      <c r="G1001" s="300"/>
      <c r="H1001" s="300"/>
      <c r="I1001" s="300"/>
      <c r="J1001" s="300"/>
      <c r="K1001" s="300"/>
      <c r="L1001" s="329"/>
      <c r="M1001" s="29" t="str">
        <f t="shared" si="1"/>
        <v/>
      </c>
      <c r="N1001" s="31" t="str">
        <f>IFERROR(__xludf.DUMMYFUNCTION("IF(Account!$F1001&lt;&gt;"""", VALUE(REGEXREPLACE($I1001, ""\,"", ""."")), """")"),"")</f>
        <v/>
      </c>
      <c r="O1001" s="33" t="str">
        <f>IF(Account!$F1001&lt;&gt;"", DATEVALUE(MID($A1001,4,3) &amp; LEFT($A1001,3) &amp; RIGHT($A1001,4)) + TIMEVALUE($B1001), "")</f>
        <v/>
      </c>
      <c r="P1001" s="34" t="str">
        <f>IF(Account!$F1001&lt;&gt;"", DATEVALUE(MID($C1001,4,3) &amp; LEFT($C1001,3) &amp; RIGHT($C1001,4)), "")</f>
        <v/>
      </c>
      <c r="Q1001" s="35" t="str">
        <f t="array" ref="Q1001">IF($R1001&lt;&gt;"",IFERROR(INDEX(Investment!$A:$A,MATCH($R1001,Investment!$H:$H,0))),)</f>
        <v/>
      </c>
      <c r="R1001" s="36" t="str">
        <f t="array" ref="R1001">IF(AND($Y1001="change",$H1001="EUR"),IF(AND($AA1001="Crédit",$O1001=$O1002),$R1002,IF(AND($AA1001="Débit",$O1001=$O1000),$R1000)),IF(OR(AND(OR($E1001&lt;&gt;"",$M1001=""),$N1001&lt;&gt;0),$A1001=""),IFERROR(INDEX(Investment!$H:$H,MATCH($E1001,Investment!$F:$F,0))),IFERROR(INDEX($R1002:$R1119,MATCH(SUBSTITUTE($I1001,"-","",1),$K1002:$K1119,0)),INDEX($R1002:$R1119,MATCH($K1001,$K1002:$K1119,0)))))</f>
        <v/>
      </c>
      <c r="S1001" s="35" t="str">
        <f t="shared" si="2"/>
        <v/>
      </c>
      <c r="T1001" s="37" t="str">
        <f t="shared" si="3"/>
        <v/>
      </c>
      <c r="U1001" s="38" t="str">
        <f t="shared" si="4"/>
        <v/>
      </c>
      <c r="V1001" s="31" t="str">
        <f t="shared" si="5"/>
        <v/>
      </c>
      <c r="W1001" s="39" t="str">
        <f>IFERROR(__xludf.DUMMYFUNCTION(" IF(Account!$F1001&lt;&gt;"""", SPLIT(Account!$F1001, "" ""), """")"),"")</f>
        <v/>
      </c>
      <c r="X1001" s="40"/>
      <c r="Y1001" s="40"/>
      <c r="Z1001" s="40"/>
      <c r="AA1001" s="40"/>
      <c r="AB1001" s="40"/>
      <c r="AC1001" s="40"/>
      <c r="AD1001" s="40"/>
      <c r="AE1001" s="40"/>
      <c r="AF1001" s="40"/>
      <c r="AG1001" s="40"/>
      <c r="AH1001" s="40"/>
      <c r="AI1001" s="40"/>
      <c r="AJ1001" s="40"/>
      <c r="AK1001" s="40"/>
    </row>
    <row r="1002">
      <c r="A1002" s="300"/>
      <c r="B1002" s="300"/>
      <c r="C1002" s="300"/>
      <c r="D1002" s="300"/>
      <c r="E1002" s="300"/>
      <c r="F1002" s="329"/>
      <c r="G1002" s="300"/>
      <c r="H1002" s="300"/>
      <c r="I1002" s="300"/>
      <c r="J1002" s="300"/>
      <c r="K1002" s="300"/>
      <c r="L1002" s="329"/>
      <c r="M1002" s="29" t="str">
        <f t="shared" si="1"/>
        <v/>
      </c>
      <c r="N1002" s="31" t="str">
        <f>IFERROR(__xludf.DUMMYFUNCTION("IF(Account!$F1002&lt;&gt;"""", VALUE(REGEXREPLACE($I1002, ""\,"", ""."")), """")"),"")</f>
        <v/>
      </c>
      <c r="O1002" s="33" t="str">
        <f>IF(Account!$F1002&lt;&gt;"", DATEVALUE(MID($A1002,4,3) &amp; LEFT($A1002,3) &amp; RIGHT($A1002,4)) + TIMEVALUE($B1002), "")</f>
        <v/>
      </c>
      <c r="P1002" s="34" t="str">
        <f>IF(Account!$F1002&lt;&gt;"", DATEVALUE(MID($C1002,4,3) &amp; LEFT($C1002,3) &amp; RIGHT($C1002,4)), "")</f>
        <v/>
      </c>
      <c r="Q1002" s="35" t="str">
        <f t="array" ref="Q1002">IF($R1002&lt;&gt;"",IFERROR(INDEX(Investment!$A:$A,MATCH($R1002,Investment!$H:$H,0))),)</f>
        <v/>
      </c>
      <c r="R1002" s="36" t="str">
        <f t="array" ref="R1002">IF(AND($Y1002="change",$H1002="EUR"),IF(AND($AA1002="Crédit",$O1002=$O1003),$R1003,IF(AND($AA1002="Débit",$O1002=$O1001),$R1001)),IF(OR(AND(OR($E1002&lt;&gt;"",$M1002=""),$N1002&lt;&gt;0),$A1002=""),IFERROR(INDEX(Investment!$H:$H,MATCH($E1002,Investment!$F:$F,0))),IFERROR(INDEX($R1003:$R1119,MATCH(SUBSTITUTE($I1002,"-","",1),$K1003:$K1119,0)),INDEX($R1003:$R1119,MATCH($K1002,$K1003:$K1119,0)))))</f>
        <v/>
      </c>
      <c r="S1002" s="35" t="str">
        <f t="shared" si="2"/>
        <v/>
      </c>
      <c r="T1002" s="37" t="str">
        <f t="shared" si="3"/>
        <v/>
      </c>
      <c r="U1002" s="38" t="str">
        <f t="shared" si="4"/>
        <v/>
      </c>
      <c r="V1002" s="31" t="str">
        <f t="shared" si="5"/>
        <v/>
      </c>
      <c r="W1002" s="39" t="str">
        <f>IFERROR(__xludf.DUMMYFUNCTION(" IF(Account!$F1002&lt;&gt;"""", SPLIT(Account!$F1002, "" ""), """")"),"")</f>
        <v/>
      </c>
      <c r="X1002" s="40"/>
      <c r="Y1002" s="40"/>
      <c r="Z1002" s="40"/>
      <c r="AA1002" s="40"/>
      <c r="AB1002" s="40"/>
      <c r="AC1002" s="40"/>
      <c r="AD1002" s="40"/>
      <c r="AE1002" s="40"/>
      <c r="AF1002" s="40"/>
      <c r="AG1002" s="40"/>
      <c r="AH1002" s="40"/>
      <c r="AI1002" s="40"/>
      <c r="AJ1002" s="40"/>
      <c r="AK1002" s="40"/>
    </row>
    <row r="1003">
      <c r="A1003" s="300"/>
      <c r="B1003" s="300"/>
      <c r="C1003" s="300"/>
      <c r="D1003" s="300"/>
      <c r="E1003" s="300"/>
      <c r="F1003" s="329"/>
      <c r="G1003" s="300"/>
      <c r="H1003" s="300"/>
      <c r="I1003" s="300"/>
      <c r="J1003" s="300"/>
      <c r="K1003" s="300"/>
      <c r="L1003" s="329"/>
      <c r="M1003" s="29" t="str">
        <f t="shared" si="1"/>
        <v/>
      </c>
      <c r="N1003" s="31" t="str">
        <f>IFERROR(__xludf.DUMMYFUNCTION("IF(Account!$F1003&lt;&gt;"""", VALUE(REGEXREPLACE($I1003, ""\,"", ""."")), """")"),"")</f>
        <v/>
      </c>
      <c r="O1003" s="33" t="str">
        <f>IF(Account!$F1003&lt;&gt;"", DATEVALUE(MID($A1003,4,3) &amp; LEFT($A1003,3) &amp; RIGHT($A1003,4)) + TIMEVALUE($B1003), "")</f>
        <v/>
      </c>
      <c r="P1003" s="34" t="str">
        <f>IF(Account!$F1003&lt;&gt;"", DATEVALUE(MID($C1003,4,3) &amp; LEFT($C1003,3) &amp; RIGHT($C1003,4)), "")</f>
        <v/>
      </c>
      <c r="Q1003" s="35" t="str">
        <f t="array" ref="Q1003">IF($R1003&lt;&gt;"",IFERROR(INDEX(Investment!$A:$A,MATCH($R1003,Investment!$H:$H,0))),)</f>
        <v/>
      </c>
      <c r="R1003" s="36" t="str">
        <f t="array" ref="R1003">IF(AND($Y1003="change",$H1003="EUR"),IF(AND($AA1003="Crédit",$O1003=$O1004),$R1004,IF(AND($AA1003="Débit",$O1003=$O1002),$R1002)),IF(OR(AND(OR($E1003&lt;&gt;"",$M1003=""),$N1003&lt;&gt;0),$A1003=""),IFERROR(INDEX(Investment!$H:$H,MATCH($E1003,Investment!$F:$F,0))),IFERROR(INDEX($R1004:$R1119,MATCH(SUBSTITUTE($I1003,"-","",1),$K1004:$K1119,0)),INDEX($R1004:$R1119,MATCH($K1003,$K1004:$K1119,0)))))</f>
        <v/>
      </c>
      <c r="S1003" s="35" t="str">
        <f t="shared" si="2"/>
        <v/>
      </c>
      <c r="T1003" s="37" t="str">
        <f t="shared" si="3"/>
        <v/>
      </c>
      <c r="U1003" s="38" t="str">
        <f t="shared" si="4"/>
        <v/>
      </c>
      <c r="V1003" s="31" t="str">
        <f t="shared" si="5"/>
        <v/>
      </c>
      <c r="W1003" s="39" t="str">
        <f>IFERROR(__xludf.DUMMYFUNCTION(" IF(Account!$F1003&lt;&gt;"""", SPLIT(Account!$F1003, "" ""), """")"),"")</f>
        <v/>
      </c>
      <c r="X1003" s="40"/>
      <c r="Y1003" s="40"/>
      <c r="Z1003" s="40"/>
      <c r="AA1003" s="40"/>
      <c r="AB1003" s="40"/>
      <c r="AC1003" s="40"/>
      <c r="AD1003" s="40"/>
      <c r="AE1003" s="40"/>
      <c r="AF1003" s="40"/>
      <c r="AG1003" s="40"/>
      <c r="AH1003" s="40"/>
      <c r="AI1003" s="40"/>
      <c r="AJ1003" s="40"/>
      <c r="AK1003" s="40"/>
    </row>
    <row r="1004">
      <c r="A1004" s="300"/>
      <c r="B1004" s="300"/>
      <c r="C1004" s="300"/>
      <c r="D1004" s="300"/>
      <c r="E1004" s="300"/>
      <c r="F1004" s="329"/>
      <c r="G1004" s="300"/>
      <c r="H1004" s="300"/>
      <c r="I1004" s="300"/>
      <c r="J1004" s="300"/>
      <c r="K1004" s="300"/>
      <c r="L1004" s="329"/>
      <c r="M1004" s="29" t="str">
        <f t="shared" si="1"/>
        <v/>
      </c>
      <c r="N1004" s="31" t="str">
        <f>IFERROR(__xludf.DUMMYFUNCTION("IF(Account!$F1004&lt;&gt;"""", VALUE(REGEXREPLACE($I1004, ""\,"", ""."")), """")"),"")</f>
        <v/>
      </c>
      <c r="O1004" s="33" t="str">
        <f>IF(Account!$F1004&lt;&gt;"", DATEVALUE(MID($A1004,4,3) &amp; LEFT($A1004,3) &amp; RIGHT($A1004,4)) + TIMEVALUE($B1004), "")</f>
        <v/>
      </c>
      <c r="P1004" s="34" t="str">
        <f>IF(Account!$F1004&lt;&gt;"", DATEVALUE(MID($C1004,4,3) &amp; LEFT($C1004,3) &amp; RIGHT($C1004,4)), "")</f>
        <v/>
      </c>
      <c r="Q1004" s="35" t="str">
        <f t="array" ref="Q1004">IF($R1004&lt;&gt;"",IFERROR(INDEX(Investment!$A:$A,MATCH($R1004,Investment!$H:$H,0))),)</f>
        <v/>
      </c>
      <c r="R1004" s="36" t="str">
        <f t="array" ref="R1004">IF(AND($Y1004="change",$H1004="EUR"),IF(AND($AA1004="Crédit",$O1004=$O1005),$R1005,IF(AND($AA1004="Débit",$O1004=$O1003),$R1003)),IF(OR(AND(OR($E1004&lt;&gt;"",$M1004=""),$N1004&lt;&gt;0),$A1004=""),IFERROR(INDEX(Investment!$H:$H,MATCH($E1004,Investment!$F:$F,0))),IFERROR(INDEX($R1005:$R1119,MATCH(SUBSTITUTE($I1004,"-","",1),$K1005:$K1119,0)),INDEX($R1005:$R1119,MATCH($K1004,$K1005:$K1119,0)))))</f>
        <v/>
      </c>
      <c r="S1004" s="35" t="str">
        <f t="shared" si="2"/>
        <v/>
      </c>
      <c r="T1004" s="37" t="str">
        <f t="shared" si="3"/>
        <v/>
      </c>
      <c r="U1004" s="38" t="str">
        <f t="shared" si="4"/>
        <v/>
      </c>
      <c r="V1004" s="31" t="str">
        <f t="shared" si="5"/>
        <v/>
      </c>
      <c r="W1004" s="39" t="str">
        <f>IFERROR(__xludf.DUMMYFUNCTION(" IF(Account!$F1004&lt;&gt;"""", SPLIT(Account!$F1004, "" ""), """")"),"")</f>
        <v/>
      </c>
      <c r="X1004" s="40"/>
      <c r="Y1004" s="40"/>
      <c r="Z1004" s="40"/>
      <c r="AA1004" s="40"/>
      <c r="AB1004" s="40"/>
      <c r="AC1004" s="40"/>
      <c r="AD1004" s="40"/>
      <c r="AE1004" s="40"/>
      <c r="AF1004" s="40"/>
      <c r="AG1004" s="40"/>
      <c r="AH1004" s="40"/>
      <c r="AI1004" s="40"/>
      <c r="AJ1004" s="40"/>
      <c r="AK1004" s="40"/>
    </row>
    <row r="1005">
      <c r="A1005" s="300"/>
      <c r="B1005" s="300"/>
      <c r="C1005" s="300"/>
      <c r="D1005" s="300"/>
      <c r="E1005" s="300"/>
      <c r="F1005" s="329"/>
      <c r="G1005" s="300"/>
      <c r="H1005" s="300"/>
      <c r="I1005" s="300"/>
      <c r="J1005" s="300"/>
      <c r="K1005" s="300"/>
      <c r="L1005" s="329"/>
      <c r="M1005" s="29" t="str">
        <f t="shared" si="1"/>
        <v/>
      </c>
      <c r="N1005" s="31" t="str">
        <f>IFERROR(__xludf.DUMMYFUNCTION("IF(Account!$F1005&lt;&gt;"""", VALUE(REGEXREPLACE($I1005, ""\,"", ""."")), """")"),"")</f>
        <v/>
      </c>
      <c r="O1005" s="33" t="str">
        <f>IF(Account!$F1005&lt;&gt;"", DATEVALUE(MID($A1005,4,3) &amp; LEFT($A1005,3) &amp; RIGHT($A1005,4)) + TIMEVALUE($B1005), "")</f>
        <v/>
      </c>
      <c r="P1005" s="34" t="str">
        <f>IF(Account!$F1005&lt;&gt;"", DATEVALUE(MID($C1005,4,3) &amp; LEFT($C1005,3) &amp; RIGHT($C1005,4)), "")</f>
        <v/>
      </c>
      <c r="Q1005" s="35" t="str">
        <f t="array" ref="Q1005">IF($R1005&lt;&gt;"",IFERROR(INDEX(Investment!$A:$A,MATCH($R1005,Investment!$H:$H,0))),)</f>
        <v/>
      </c>
      <c r="R1005" s="36" t="str">
        <f t="array" ref="R1005">IF(AND($Y1005="change",$H1005="EUR"),IF(AND($AA1005="Crédit",$O1005=$O1006),$R1006,IF(AND($AA1005="Débit",$O1005=$O1004),$R1004)),IF(OR(AND(OR($E1005&lt;&gt;"",$M1005=""),$N1005&lt;&gt;0),$A1005=""),IFERROR(INDEX(Investment!$H:$H,MATCH($E1005,Investment!$F:$F,0))),IFERROR(INDEX($R1006:$R1119,MATCH(SUBSTITUTE($I1005,"-","",1),$K1006:$K1119,0)),INDEX($R1006:$R1119,MATCH($K1005,$K1006:$K1119,0)))))</f>
        <v/>
      </c>
      <c r="S1005" s="35" t="str">
        <f t="shared" si="2"/>
        <v/>
      </c>
      <c r="T1005" s="37" t="str">
        <f t="shared" si="3"/>
        <v/>
      </c>
      <c r="U1005" s="38" t="str">
        <f t="shared" si="4"/>
        <v/>
      </c>
      <c r="V1005" s="31" t="str">
        <f t="shared" si="5"/>
        <v/>
      </c>
      <c r="W1005" s="39" t="str">
        <f>IFERROR(__xludf.DUMMYFUNCTION(" IF(Account!$F1005&lt;&gt;"""", SPLIT(Account!$F1005, "" ""), """")"),"")</f>
        <v/>
      </c>
      <c r="X1005" s="40"/>
      <c r="Y1005" s="40"/>
      <c r="Z1005" s="40"/>
      <c r="AA1005" s="40"/>
      <c r="AB1005" s="40"/>
      <c r="AC1005" s="40"/>
      <c r="AD1005" s="40"/>
      <c r="AE1005" s="40"/>
      <c r="AF1005" s="40"/>
      <c r="AG1005" s="40"/>
      <c r="AH1005" s="40"/>
      <c r="AI1005" s="40"/>
      <c r="AJ1005" s="40"/>
      <c r="AK1005" s="40"/>
    </row>
    <row r="1006">
      <c r="A1006" s="300"/>
      <c r="B1006" s="300"/>
      <c r="C1006" s="300"/>
      <c r="D1006" s="300"/>
      <c r="E1006" s="300"/>
      <c r="F1006" s="329"/>
      <c r="G1006" s="300"/>
      <c r="H1006" s="300"/>
      <c r="I1006" s="300"/>
      <c r="J1006" s="300"/>
      <c r="K1006" s="300"/>
      <c r="L1006" s="329"/>
      <c r="M1006" s="29" t="str">
        <f t="shared" si="1"/>
        <v/>
      </c>
      <c r="N1006" s="31" t="str">
        <f>IFERROR(__xludf.DUMMYFUNCTION("IF(Account!$F1006&lt;&gt;"""", VALUE(REGEXREPLACE($I1006, ""\,"", ""."")), """")"),"")</f>
        <v/>
      </c>
      <c r="O1006" s="33" t="str">
        <f>IF(Account!$F1006&lt;&gt;"", DATEVALUE(MID($A1006,4,3) &amp; LEFT($A1006,3) &amp; RIGHT($A1006,4)) + TIMEVALUE($B1006), "")</f>
        <v/>
      </c>
      <c r="P1006" s="34" t="str">
        <f>IF(Account!$F1006&lt;&gt;"", DATEVALUE(MID($C1006,4,3) &amp; LEFT($C1006,3) &amp; RIGHT($C1006,4)), "")</f>
        <v/>
      </c>
      <c r="Q1006" s="35" t="str">
        <f t="array" ref="Q1006">IF($R1006&lt;&gt;"",IFERROR(INDEX(Investment!$A:$A,MATCH($R1006,Investment!$H:$H,0))),)</f>
        <v/>
      </c>
      <c r="R1006" s="36" t="str">
        <f t="array" ref="R1006">IF(AND($Y1006="change",$H1006="EUR"),IF(AND($AA1006="Crédit",$O1006=$O1007),$R1007,IF(AND($AA1006="Débit",$O1006=$O1005),$R1005)),IF(OR(AND(OR($E1006&lt;&gt;"",$M1006=""),$N1006&lt;&gt;0),$A1006=""),IFERROR(INDEX(Investment!$H:$H,MATCH($E1006,Investment!$F:$F,0))),IFERROR(INDEX($R1007:$R1119,MATCH(SUBSTITUTE($I1006,"-","",1),$K1007:$K1119,0)),INDEX($R1007:$R1119,MATCH($K1006,$K1007:$K1119,0)))))</f>
        <v/>
      </c>
      <c r="S1006" s="35" t="str">
        <f t="shared" si="2"/>
        <v/>
      </c>
      <c r="T1006" s="37" t="str">
        <f t="shared" si="3"/>
        <v/>
      </c>
      <c r="U1006" s="38" t="str">
        <f t="shared" si="4"/>
        <v/>
      </c>
      <c r="V1006" s="31" t="str">
        <f t="shared" si="5"/>
        <v/>
      </c>
      <c r="W1006" s="39" t="str">
        <f>IFERROR(__xludf.DUMMYFUNCTION(" IF(Account!$F1006&lt;&gt;"""", SPLIT(Account!$F1006, "" ""), """")"),"")</f>
        <v/>
      </c>
      <c r="X1006" s="40"/>
      <c r="Y1006" s="40"/>
      <c r="Z1006" s="40"/>
      <c r="AA1006" s="40"/>
      <c r="AB1006" s="40"/>
      <c r="AC1006" s="40"/>
      <c r="AD1006" s="40"/>
      <c r="AE1006" s="40"/>
      <c r="AF1006" s="40"/>
      <c r="AG1006" s="40"/>
      <c r="AH1006" s="40"/>
      <c r="AI1006" s="40"/>
      <c r="AJ1006" s="40"/>
      <c r="AK1006" s="40"/>
    </row>
    <row r="1007">
      <c r="A1007" s="300"/>
      <c r="B1007" s="300"/>
      <c r="C1007" s="300"/>
      <c r="D1007" s="300"/>
      <c r="E1007" s="300"/>
      <c r="F1007" s="329"/>
      <c r="G1007" s="300"/>
      <c r="H1007" s="300"/>
      <c r="I1007" s="300"/>
      <c r="J1007" s="300"/>
      <c r="K1007" s="300"/>
      <c r="L1007" s="329"/>
      <c r="M1007" s="29" t="str">
        <f t="shared" si="1"/>
        <v/>
      </c>
      <c r="N1007" s="31" t="str">
        <f>IFERROR(__xludf.DUMMYFUNCTION("IF(Account!$F1007&lt;&gt;"""", VALUE(REGEXREPLACE($I1007, ""\,"", ""."")), """")"),"")</f>
        <v/>
      </c>
      <c r="O1007" s="33" t="str">
        <f>IF(Account!$F1007&lt;&gt;"", DATEVALUE(MID($A1007,4,3) &amp; LEFT($A1007,3) &amp; RIGHT($A1007,4)) + TIMEVALUE($B1007), "")</f>
        <v/>
      </c>
      <c r="P1007" s="34" t="str">
        <f>IF(Account!$F1007&lt;&gt;"", DATEVALUE(MID($C1007,4,3) &amp; LEFT($C1007,3) &amp; RIGHT($C1007,4)), "")</f>
        <v/>
      </c>
      <c r="Q1007" s="35" t="str">
        <f t="array" ref="Q1007">IF($R1007&lt;&gt;"",IFERROR(INDEX(Investment!$A:$A,MATCH($R1007,Investment!$H:$H,0))),)</f>
        <v/>
      </c>
      <c r="R1007" s="36" t="str">
        <f t="array" ref="R1007">IF(AND($Y1007="change",$H1007="EUR"),IF(AND($AA1007="Crédit",$O1007=$O1008),$R1008,IF(AND($AA1007="Débit",$O1007=$O1006),$R1006)),IF(OR(AND(OR($E1007&lt;&gt;"",$M1007=""),$N1007&lt;&gt;0),$A1007=""),IFERROR(INDEX(Investment!$H:$H,MATCH($E1007,Investment!$F:$F,0))),IFERROR(INDEX($R1008:$R1119,MATCH(SUBSTITUTE($I1007,"-","",1),$K1008:$K1119,0)),INDEX($R1008:$R1119,MATCH($K1007,$K1008:$K1119,0)))))</f>
        <v/>
      </c>
      <c r="S1007" s="35" t="str">
        <f t="shared" si="2"/>
        <v/>
      </c>
      <c r="T1007" s="37" t="str">
        <f t="shared" si="3"/>
        <v/>
      </c>
      <c r="U1007" s="38" t="str">
        <f t="shared" si="4"/>
        <v/>
      </c>
      <c r="V1007" s="31" t="str">
        <f t="shared" si="5"/>
        <v/>
      </c>
      <c r="W1007" s="39" t="str">
        <f>IFERROR(__xludf.DUMMYFUNCTION(" IF(Account!$F1007&lt;&gt;"""", SPLIT(Account!$F1007, "" ""), """")"),"")</f>
        <v/>
      </c>
      <c r="X1007" s="40"/>
      <c r="Y1007" s="40"/>
      <c r="Z1007" s="40"/>
      <c r="AA1007" s="40"/>
      <c r="AB1007" s="40"/>
      <c r="AC1007" s="40"/>
      <c r="AD1007" s="40"/>
      <c r="AE1007" s="40"/>
      <c r="AF1007" s="40"/>
      <c r="AG1007" s="40"/>
      <c r="AH1007" s="40"/>
      <c r="AI1007" s="40"/>
      <c r="AJ1007" s="40"/>
      <c r="AK1007" s="40"/>
    </row>
    <row r="1008">
      <c r="A1008" s="300"/>
      <c r="B1008" s="300"/>
      <c r="C1008" s="300"/>
      <c r="D1008" s="300"/>
      <c r="E1008" s="300"/>
      <c r="F1008" s="329"/>
      <c r="G1008" s="300"/>
      <c r="H1008" s="300"/>
      <c r="I1008" s="300"/>
      <c r="J1008" s="300"/>
      <c r="K1008" s="300"/>
      <c r="L1008" s="329"/>
      <c r="M1008" s="29" t="str">
        <f t="shared" si="1"/>
        <v/>
      </c>
      <c r="N1008" s="31" t="str">
        <f>IFERROR(__xludf.DUMMYFUNCTION("IF(Account!$F1008&lt;&gt;"""", VALUE(REGEXREPLACE($I1008, ""\,"", ""."")), """")"),"")</f>
        <v/>
      </c>
      <c r="O1008" s="33" t="str">
        <f>IF(Account!$F1008&lt;&gt;"", DATEVALUE(MID($A1008,4,3) &amp; LEFT($A1008,3) &amp; RIGHT($A1008,4)) + TIMEVALUE($B1008), "")</f>
        <v/>
      </c>
      <c r="P1008" s="34" t="str">
        <f>IF(Account!$F1008&lt;&gt;"", DATEVALUE(MID($C1008,4,3) &amp; LEFT($C1008,3) &amp; RIGHT($C1008,4)), "")</f>
        <v/>
      </c>
      <c r="Q1008" s="35" t="str">
        <f t="array" ref="Q1008">IF($R1008&lt;&gt;"",IFERROR(INDEX(Investment!$A:$A,MATCH($R1008,Investment!$H:$H,0))),)</f>
        <v/>
      </c>
      <c r="R1008" s="36" t="str">
        <f t="array" ref="R1008">IF(AND($Y1008="change",$H1008="EUR"),IF(AND($AA1008="Crédit",$O1008=$O1009),$R1009,IF(AND($AA1008="Débit",$O1008=$O1007),$R1007)),IF(OR(AND(OR($E1008&lt;&gt;"",$M1008=""),$N1008&lt;&gt;0),$A1008=""),IFERROR(INDEX(Investment!$H:$H,MATCH($E1008,Investment!$F:$F,0))),IFERROR(INDEX($R1009:$R1119,MATCH(SUBSTITUTE($I1008,"-","",1),$K1009:$K1119,0)),INDEX($R1009:$R1119,MATCH($K1008,$K1009:$K1119,0)))))</f>
        <v/>
      </c>
      <c r="S1008" s="35" t="str">
        <f t="shared" si="2"/>
        <v/>
      </c>
      <c r="T1008" s="37" t="str">
        <f t="shared" si="3"/>
        <v/>
      </c>
      <c r="U1008" s="38" t="str">
        <f t="shared" si="4"/>
        <v/>
      </c>
      <c r="V1008" s="31" t="str">
        <f t="shared" si="5"/>
        <v/>
      </c>
      <c r="W1008" s="39" t="str">
        <f>IFERROR(__xludf.DUMMYFUNCTION(" IF(Account!$F1008&lt;&gt;"""", SPLIT(Account!$F1008, "" ""), """")"),"")</f>
        <v/>
      </c>
      <c r="X1008" s="40"/>
      <c r="Y1008" s="40"/>
      <c r="Z1008" s="40"/>
      <c r="AA1008" s="40"/>
      <c r="AB1008" s="40"/>
      <c r="AC1008" s="40"/>
      <c r="AD1008" s="40"/>
      <c r="AE1008" s="40"/>
      <c r="AF1008" s="40"/>
      <c r="AG1008" s="40"/>
      <c r="AH1008" s="40"/>
      <c r="AI1008" s="40"/>
      <c r="AJ1008" s="40"/>
      <c r="AK1008" s="40"/>
    </row>
    <row r="1009">
      <c r="A1009" s="300"/>
      <c r="B1009" s="300"/>
      <c r="C1009" s="300"/>
      <c r="D1009" s="300"/>
      <c r="E1009" s="300"/>
      <c r="F1009" s="329"/>
      <c r="G1009" s="300"/>
      <c r="H1009" s="300"/>
      <c r="I1009" s="300"/>
      <c r="J1009" s="300"/>
      <c r="K1009" s="300"/>
      <c r="L1009" s="329"/>
      <c r="M1009" s="29" t="str">
        <f t="shared" si="1"/>
        <v/>
      </c>
      <c r="N1009" s="31" t="str">
        <f>IFERROR(__xludf.DUMMYFUNCTION("IF(Account!$F1009&lt;&gt;"""", VALUE(REGEXREPLACE($I1009, ""\,"", ""."")), """")"),"")</f>
        <v/>
      </c>
      <c r="O1009" s="33" t="str">
        <f>IF(Account!$F1009&lt;&gt;"", DATEVALUE(MID($A1009,4,3) &amp; LEFT($A1009,3) &amp; RIGHT($A1009,4)) + TIMEVALUE($B1009), "")</f>
        <v/>
      </c>
      <c r="P1009" s="34" t="str">
        <f>IF(Account!$F1009&lt;&gt;"", DATEVALUE(MID($C1009,4,3) &amp; LEFT($C1009,3) &amp; RIGHT($C1009,4)), "")</f>
        <v/>
      </c>
      <c r="Q1009" s="35" t="str">
        <f t="array" ref="Q1009">IF($R1009&lt;&gt;"",IFERROR(INDEX(Investment!$A:$A,MATCH($R1009,Investment!$H:$H,0))),)</f>
        <v/>
      </c>
      <c r="R1009" s="36" t="str">
        <f t="array" ref="R1009">IF(AND($Y1009="change",$H1009="EUR"),IF(AND($AA1009="Crédit",$O1009=$O1010),$R1010,IF(AND($AA1009="Débit",$O1009=$O1008),$R1008)),IF(OR(AND(OR($E1009&lt;&gt;"",$M1009=""),$N1009&lt;&gt;0),$A1009=""),IFERROR(INDEX(Investment!$H:$H,MATCH($E1009,Investment!$F:$F,0))),IFERROR(INDEX($R1010:$R1119,MATCH(SUBSTITUTE($I1009,"-","",1),$K1010:$K1119,0)),INDEX($R1010:$R1119,MATCH($K1009,$K1010:$K1119,0)))))</f>
        <v/>
      </c>
      <c r="S1009" s="35" t="str">
        <f t="shared" si="2"/>
        <v/>
      </c>
      <c r="T1009" s="37" t="str">
        <f t="shared" si="3"/>
        <v/>
      </c>
      <c r="U1009" s="38" t="str">
        <f t="shared" si="4"/>
        <v/>
      </c>
      <c r="V1009" s="31" t="str">
        <f t="shared" si="5"/>
        <v/>
      </c>
      <c r="W1009" s="39" t="str">
        <f>IFERROR(__xludf.DUMMYFUNCTION(" IF(Account!$F1009&lt;&gt;"""", SPLIT(Account!$F1009, "" ""), """")"),"")</f>
        <v/>
      </c>
      <c r="X1009" s="40"/>
      <c r="Y1009" s="40"/>
      <c r="Z1009" s="40"/>
      <c r="AA1009" s="40"/>
      <c r="AB1009" s="40"/>
      <c r="AC1009" s="40"/>
      <c r="AD1009" s="40"/>
      <c r="AE1009" s="40"/>
      <c r="AF1009" s="40"/>
      <c r="AG1009" s="40"/>
      <c r="AH1009" s="40"/>
      <c r="AI1009" s="40"/>
      <c r="AJ1009" s="40"/>
      <c r="AK1009" s="40"/>
    </row>
    <row r="1010">
      <c r="A1010" s="300"/>
      <c r="B1010" s="300"/>
      <c r="C1010" s="300"/>
      <c r="D1010" s="300"/>
      <c r="E1010" s="300"/>
      <c r="F1010" s="329"/>
      <c r="G1010" s="300"/>
      <c r="H1010" s="300"/>
      <c r="I1010" s="300"/>
      <c r="J1010" s="300"/>
      <c r="K1010" s="300"/>
      <c r="L1010" s="329"/>
      <c r="M1010" s="29" t="str">
        <f t="shared" si="1"/>
        <v/>
      </c>
      <c r="N1010" s="31" t="str">
        <f>IFERROR(__xludf.DUMMYFUNCTION("IF(Account!$F1010&lt;&gt;"""", VALUE(REGEXREPLACE($I1010, ""\,"", ""."")), """")"),"")</f>
        <v/>
      </c>
      <c r="O1010" s="33" t="str">
        <f>IF(Account!$F1010&lt;&gt;"", DATEVALUE(MID($A1010,4,3) &amp; LEFT($A1010,3) &amp; RIGHT($A1010,4)) + TIMEVALUE($B1010), "")</f>
        <v/>
      </c>
      <c r="P1010" s="34" t="str">
        <f>IF(Account!$F1010&lt;&gt;"", DATEVALUE(MID($C1010,4,3) &amp; LEFT($C1010,3) &amp; RIGHT($C1010,4)), "")</f>
        <v/>
      </c>
      <c r="Q1010" s="35" t="str">
        <f t="array" ref="Q1010">IF($R1010&lt;&gt;"",IFERROR(INDEX(Investment!$A:$A,MATCH($R1010,Investment!$H:$H,0))),)</f>
        <v/>
      </c>
      <c r="R1010" s="36" t="str">
        <f t="array" ref="R1010">IF(AND($Y1010="change",$H1010="EUR"),IF(AND($AA1010="Crédit",$O1010=$O1011),$R1011,IF(AND($AA1010="Débit",$O1010=$O1009),$R1009)),IF(OR(AND(OR($E1010&lt;&gt;"",$M1010=""),$N1010&lt;&gt;0),$A1010=""),IFERROR(INDEX(Investment!$H:$H,MATCH($E1010,Investment!$F:$F,0))),IFERROR(INDEX($R1011:$R1119,MATCH(SUBSTITUTE($I1010,"-","",1),$K1011:$K1119,0)),INDEX($R1011:$R1119,MATCH($K1010,$K1011:$K1119,0)))))</f>
        <v/>
      </c>
      <c r="S1010" s="35" t="str">
        <f t="shared" si="2"/>
        <v/>
      </c>
      <c r="T1010" s="37" t="str">
        <f t="shared" si="3"/>
        <v/>
      </c>
      <c r="U1010" s="38" t="str">
        <f t="shared" si="4"/>
        <v/>
      </c>
      <c r="V1010" s="31" t="str">
        <f t="shared" si="5"/>
        <v/>
      </c>
      <c r="W1010" s="39" t="str">
        <f>IFERROR(__xludf.DUMMYFUNCTION(" IF(Account!$F1010&lt;&gt;"""", SPLIT(Account!$F1010, "" ""), """")"),"")</f>
        <v/>
      </c>
      <c r="X1010" s="40"/>
      <c r="Y1010" s="40"/>
      <c r="Z1010" s="40"/>
      <c r="AA1010" s="40"/>
      <c r="AB1010" s="40"/>
      <c r="AC1010" s="40"/>
      <c r="AD1010" s="40"/>
      <c r="AE1010" s="40"/>
      <c r="AF1010" s="40"/>
      <c r="AG1010" s="40"/>
      <c r="AH1010" s="40"/>
      <c r="AI1010" s="40"/>
      <c r="AJ1010" s="40"/>
      <c r="AK1010" s="40"/>
    </row>
    <row r="1011">
      <c r="A1011" s="300"/>
      <c r="B1011" s="300"/>
      <c r="C1011" s="300"/>
      <c r="D1011" s="300"/>
      <c r="E1011" s="300"/>
      <c r="F1011" s="329"/>
      <c r="G1011" s="300"/>
      <c r="H1011" s="300"/>
      <c r="I1011" s="300"/>
      <c r="J1011" s="300"/>
      <c r="K1011" s="300"/>
      <c r="L1011" s="329"/>
      <c r="M1011" s="29" t="str">
        <f t="shared" si="1"/>
        <v/>
      </c>
      <c r="N1011" s="31" t="str">
        <f>IFERROR(__xludf.DUMMYFUNCTION("IF(Account!$F1011&lt;&gt;"""", VALUE(REGEXREPLACE($I1011, ""\,"", ""."")), """")"),"")</f>
        <v/>
      </c>
      <c r="O1011" s="33" t="str">
        <f>IF(Account!$F1011&lt;&gt;"", DATEVALUE(MID($A1011,4,3) &amp; LEFT($A1011,3) &amp; RIGHT($A1011,4)) + TIMEVALUE($B1011), "")</f>
        <v/>
      </c>
      <c r="P1011" s="34" t="str">
        <f>IF(Account!$F1011&lt;&gt;"", DATEVALUE(MID($C1011,4,3) &amp; LEFT($C1011,3) &amp; RIGHT($C1011,4)), "")</f>
        <v/>
      </c>
      <c r="Q1011" s="35" t="str">
        <f t="array" ref="Q1011">IF($R1011&lt;&gt;"",IFERROR(INDEX(Investment!$A:$A,MATCH($R1011,Investment!$H:$H,0))),)</f>
        <v/>
      </c>
      <c r="R1011" s="36" t="str">
        <f t="array" ref="R1011">IF(AND($Y1011="change",$H1011="EUR"),IF(AND($AA1011="Crédit",$O1011=$O1012),$R1012,IF(AND($AA1011="Débit",$O1011=$O1010),$R1010)),IF(OR(AND(OR($E1011&lt;&gt;"",$M1011=""),$N1011&lt;&gt;0),$A1011=""),IFERROR(INDEX(Investment!$H:$H,MATCH($E1011,Investment!$F:$F,0))),IFERROR(INDEX($R1012:$R1119,MATCH(SUBSTITUTE($I1011,"-","",1),$K1012:$K1119,0)),INDEX($R1012:$R1119,MATCH($K1011,$K1012:$K1119,0)))))</f>
        <v/>
      </c>
      <c r="S1011" s="35" t="str">
        <f t="shared" si="2"/>
        <v/>
      </c>
      <c r="T1011" s="37" t="str">
        <f t="shared" si="3"/>
        <v/>
      </c>
      <c r="U1011" s="38" t="str">
        <f t="shared" si="4"/>
        <v/>
      </c>
      <c r="V1011" s="31" t="str">
        <f t="shared" si="5"/>
        <v/>
      </c>
      <c r="W1011" s="39" t="str">
        <f>IFERROR(__xludf.DUMMYFUNCTION(" IF(Account!$F1011&lt;&gt;"""", SPLIT(Account!$F1011, "" ""), """")"),"")</f>
        <v/>
      </c>
      <c r="X1011" s="40"/>
      <c r="Y1011" s="40"/>
      <c r="Z1011" s="40"/>
      <c r="AA1011" s="40"/>
      <c r="AB1011" s="40"/>
      <c r="AC1011" s="40"/>
      <c r="AD1011" s="40"/>
      <c r="AE1011" s="40"/>
      <c r="AF1011" s="40"/>
      <c r="AG1011" s="40"/>
      <c r="AH1011" s="40"/>
      <c r="AI1011" s="40"/>
      <c r="AJ1011" s="40"/>
      <c r="AK1011" s="40"/>
    </row>
    <row r="1012">
      <c r="A1012" s="300"/>
      <c r="B1012" s="300"/>
      <c r="C1012" s="300"/>
      <c r="D1012" s="300"/>
      <c r="E1012" s="300"/>
      <c r="F1012" s="329"/>
      <c r="G1012" s="300"/>
      <c r="H1012" s="300"/>
      <c r="I1012" s="300"/>
      <c r="J1012" s="300"/>
      <c r="K1012" s="300"/>
      <c r="L1012" s="329"/>
      <c r="M1012" s="29" t="str">
        <f t="shared" si="1"/>
        <v/>
      </c>
      <c r="N1012" s="31" t="str">
        <f>IFERROR(__xludf.DUMMYFUNCTION("IF(Account!$F1012&lt;&gt;"""", VALUE(REGEXREPLACE($I1012, ""\,"", ""."")), """")"),"")</f>
        <v/>
      </c>
      <c r="O1012" s="33" t="str">
        <f>IF(Account!$F1012&lt;&gt;"", DATEVALUE(MID($A1012,4,3) &amp; LEFT($A1012,3) &amp; RIGHT($A1012,4)) + TIMEVALUE($B1012), "")</f>
        <v/>
      </c>
      <c r="P1012" s="34" t="str">
        <f>IF(Account!$F1012&lt;&gt;"", DATEVALUE(MID($C1012,4,3) &amp; LEFT($C1012,3) &amp; RIGHT($C1012,4)), "")</f>
        <v/>
      </c>
      <c r="Q1012" s="35" t="str">
        <f t="array" ref="Q1012">IF($R1012&lt;&gt;"",IFERROR(INDEX(Investment!$A:$A,MATCH($R1012,Investment!$H:$H,0))),)</f>
        <v/>
      </c>
      <c r="R1012" s="36" t="str">
        <f t="array" ref="R1012">IF(AND($Y1012="change",$H1012="EUR"),IF(AND($AA1012="Crédit",$O1012=$O1013),$R1013,IF(AND($AA1012="Débit",$O1012=$O1011),$R1011)),IF(OR(AND(OR($E1012&lt;&gt;"",$M1012=""),$N1012&lt;&gt;0),$A1012=""),IFERROR(INDEX(Investment!$H:$H,MATCH($E1012,Investment!$F:$F,0))),IFERROR(INDEX($R1013:$R1119,MATCH(SUBSTITUTE($I1012,"-","",1),$K1013:$K1119,0)),INDEX($R1013:$R1119,MATCH($K1012,$K1013:$K1119,0)))))</f>
        <v/>
      </c>
      <c r="S1012" s="35" t="str">
        <f t="shared" si="2"/>
        <v/>
      </c>
      <c r="T1012" s="37" t="str">
        <f t="shared" si="3"/>
        <v/>
      </c>
      <c r="U1012" s="38" t="str">
        <f t="shared" si="4"/>
        <v/>
      </c>
      <c r="V1012" s="31" t="str">
        <f t="shared" si="5"/>
        <v/>
      </c>
      <c r="W1012" s="39" t="str">
        <f>IFERROR(__xludf.DUMMYFUNCTION(" IF(Account!$F1012&lt;&gt;"""", SPLIT(Account!$F1012, "" ""), """")"),"")</f>
        <v/>
      </c>
      <c r="X1012" s="40"/>
      <c r="Y1012" s="40"/>
      <c r="Z1012" s="40"/>
      <c r="AA1012" s="40"/>
      <c r="AB1012" s="40"/>
      <c r="AC1012" s="40"/>
      <c r="AD1012" s="40"/>
      <c r="AE1012" s="40"/>
      <c r="AF1012" s="40"/>
      <c r="AG1012" s="40"/>
      <c r="AH1012" s="40"/>
      <c r="AI1012" s="40"/>
      <c r="AJ1012" s="40"/>
      <c r="AK1012" s="40"/>
    </row>
    <row r="1013">
      <c r="A1013" s="300"/>
      <c r="B1013" s="300"/>
      <c r="C1013" s="300"/>
      <c r="D1013" s="300"/>
      <c r="E1013" s="300"/>
      <c r="F1013" s="329"/>
      <c r="G1013" s="300"/>
      <c r="H1013" s="300"/>
      <c r="I1013" s="300"/>
      <c r="J1013" s="300"/>
      <c r="K1013" s="300"/>
      <c r="L1013" s="329"/>
      <c r="M1013" s="29" t="str">
        <f t="shared" si="1"/>
        <v/>
      </c>
      <c r="N1013" s="31" t="str">
        <f>IFERROR(__xludf.DUMMYFUNCTION("IF(Account!$F1013&lt;&gt;"""", VALUE(REGEXREPLACE($I1013, ""\,"", ""."")), """")"),"")</f>
        <v/>
      </c>
      <c r="O1013" s="33" t="str">
        <f>IF(Account!$F1013&lt;&gt;"", DATEVALUE(MID($A1013,4,3) &amp; LEFT($A1013,3) &amp; RIGHT($A1013,4)) + TIMEVALUE($B1013), "")</f>
        <v/>
      </c>
      <c r="P1013" s="34" t="str">
        <f>IF(Account!$F1013&lt;&gt;"", DATEVALUE(MID($C1013,4,3) &amp; LEFT($C1013,3) &amp; RIGHT($C1013,4)), "")</f>
        <v/>
      </c>
      <c r="Q1013" s="35" t="str">
        <f t="array" ref="Q1013">IF($R1013&lt;&gt;"",IFERROR(INDEX(Investment!$A:$A,MATCH($R1013,Investment!$H:$H,0))),)</f>
        <v/>
      </c>
      <c r="R1013" s="36" t="str">
        <f t="array" ref="R1013">IF(AND($Y1013="change",$H1013="EUR"),IF(AND($AA1013="Crédit",$O1013=$O1014),$R1014,IF(AND($AA1013="Débit",$O1013=$O1012),$R1012)),IF(OR(AND(OR($E1013&lt;&gt;"",$M1013=""),$N1013&lt;&gt;0),$A1013=""),IFERROR(INDEX(Investment!$H:$H,MATCH($E1013,Investment!$F:$F,0))),IFERROR(INDEX($R1014:$R1119,MATCH(SUBSTITUTE($I1013,"-","",1),$K1014:$K1119,0)),INDEX($R1014:$R1119,MATCH($K1013,$K1014:$K1119,0)))))</f>
        <v/>
      </c>
      <c r="S1013" s="35" t="str">
        <f t="shared" si="2"/>
        <v/>
      </c>
      <c r="T1013" s="37" t="str">
        <f t="shared" si="3"/>
        <v/>
      </c>
      <c r="U1013" s="38" t="str">
        <f t="shared" si="4"/>
        <v/>
      </c>
      <c r="V1013" s="31" t="str">
        <f t="shared" si="5"/>
        <v/>
      </c>
      <c r="W1013" s="39" t="str">
        <f>IFERROR(__xludf.DUMMYFUNCTION(" IF(Account!$F1013&lt;&gt;"""", SPLIT(Account!$F1013, "" ""), """")"),"")</f>
        <v/>
      </c>
      <c r="X1013" s="40"/>
      <c r="Y1013" s="40"/>
      <c r="Z1013" s="40"/>
      <c r="AA1013" s="40"/>
      <c r="AB1013" s="40"/>
      <c r="AC1013" s="40"/>
      <c r="AD1013" s="40"/>
      <c r="AE1013" s="40"/>
      <c r="AF1013" s="40"/>
      <c r="AG1013" s="40"/>
      <c r="AH1013" s="40"/>
      <c r="AI1013" s="40"/>
      <c r="AJ1013" s="40"/>
      <c r="AK1013" s="40"/>
    </row>
    <row r="1014">
      <c r="A1014" s="300"/>
      <c r="B1014" s="300"/>
      <c r="C1014" s="300"/>
      <c r="D1014" s="300"/>
      <c r="E1014" s="300"/>
      <c r="F1014" s="329"/>
      <c r="G1014" s="300"/>
      <c r="H1014" s="300"/>
      <c r="I1014" s="300"/>
      <c r="J1014" s="300"/>
      <c r="K1014" s="300"/>
      <c r="L1014" s="329"/>
      <c r="M1014" s="29" t="str">
        <f t="shared" si="1"/>
        <v/>
      </c>
      <c r="N1014" s="31" t="str">
        <f>IFERROR(__xludf.DUMMYFUNCTION("IF(Account!$F1014&lt;&gt;"""", VALUE(REGEXREPLACE($I1014, ""\,"", ""."")), """")"),"")</f>
        <v/>
      </c>
      <c r="O1014" s="33" t="str">
        <f>IF(Account!$F1014&lt;&gt;"", DATEVALUE(MID($A1014,4,3) &amp; LEFT($A1014,3) &amp; RIGHT($A1014,4)) + TIMEVALUE($B1014), "")</f>
        <v/>
      </c>
      <c r="P1014" s="34" t="str">
        <f>IF(Account!$F1014&lt;&gt;"", DATEVALUE(MID($C1014,4,3) &amp; LEFT($C1014,3) &amp; RIGHT($C1014,4)), "")</f>
        <v/>
      </c>
      <c r="Q1014" s="35" t="str">
        <f t="array" ref="Q1014">IF($R1014&lt;&gt;"",IFERROR(INDEX(Investment!$A:$A,MATCH($R1014,Investment!$H:$H,0))),)</f>
        <v/>
      </c>
      <c r="R1014" s="36" t="str">
        <f t="array" ref="R1014">IF(AND($Y1014="change",$H1014="EUR"),IF(AND($AA1014="Crédit",$O1014=$O1015),$R1015,IF(AND($AA1014="Débit",$O1014=$O1013),$R1013)),IF(OR(AND(OR($E1014&lt;&gt;"",$M1014=""),$N1014&lt;&gt;0),$A1014=""),IFERROR(INDEX(Investment!$H:$H,MATCH($E1014,Investment!$F:$F,0))),IFERROR(INDEX($R1015:$R1119,MATCH(SUBSTITUTE($I1014,"-","",1),$K1015:$K1119,0)),INDEX($R1015:$R1119,MATCH($K1014,$K1015:$K1119,0)))))</f>
        <v/>
      </c>
      <c r="S1014" s="35" t="str">
        <f t="shared" si="2"/>
        <v/>
      </c>
      <c r="T1014" s="37" t="str">
        <f t="shared" si="3"/>
        <v/>
      </c>
      <c r="U1014" s="38" t="str">
        <f t="shared" si="4"/>
        <v/>
      </c>
      <c r="V1014" s="31" t="str">
        <f t="shared" si="5"/>
        <v/>
      </c>
      <c r="W1014" s="39" t="str">
        <f>IFERROR(__xludf.DUMMYFUNCTION(" IF(Account!$F1014&lt;&gt;"""", SPLIT(Account!$F1014, "" ""), """")"),"")</f>
        <v/>
      </c>
      <c r="X1014" s="40"/>
      <c r="Y1014" s="40"/>
      <c r="Z1014" s="40"/>
      <c r="AA1014" s="40"/>
      <c r="AB1014" s="40"/>
      <c r="AC1014" s="40"/>
      <c r="AD1014" s="40"/>
      <c r="AE1014" s="40"/>
      <c r="AF1014" s="40"/>
      <c r="AG1014" s="40"/>
      <c r="AH1014" s="40"/>
      <c r="AI1014" s="40"/>
      <c r="AJ1014" s="40"/>
      <c r="AK1014" s="40"/>
    </row>
    <row r="1015">
      <c r="A1015" s="300"/>
      <c r="B1015" s="300"/>
      <c r="C1015" s="300"/>
      <c r="D1015" s="300"/>
      <c r="E1015" s="300"/>
      <c r="F1015" s="329"/>
      <c r="G1015" s="300"/>
      <c r="H1015" s="300"/>
      <c r="I1015" s="300"/>
      <c r="J1015" s="300"/>
      <c r="K1015" s="300"/>
      <c r="L1015" s="329"/>
      <c r="M1015" s="29" t="str">
        <f t="shared" si="1"/>
        <v/>
      </c>
      <c r="N1015" s="31" t="str">
        <f>IFERROR(__xludf.DUMMYFUNCTION("IF(Account!$F1015&lt;&gt;"""", VALUE(REGEXREPLACE($I1015, ""\,"", ""."")), """")"),"")</f>
        <v/>
      </c>
      <c r="O1015" s="33" t="str">
        <f>IF(Account!$F1015&lt;&gt;"", DATEVALUE(MID($A1015,4,3) &amp; LEFT($A1015,3) &amp; RIGHT($A1015,4)) + TIMEVALUE($B1015), "")</f>
        <v/>
      </c>
      <c r="P1015" s="34" t="str">
        <f>IF(Account!$F1015&lt;&gt;"", DATEVALUE(MID($C1015,4,3) &amp; LEFT($C1015,3) &amp; RIGHT($C1015,4)), "")</f>
        <v/>
      </c>
      <c r="Q1015" s="35" t="str">
        <f t="array" ref="Q1015">IF($R1015&lt;&gt;"",IFERROR(INDEX(Investment!$A:$A,MATCH($R1015,Investment!$H:$H,0))),)</f>
        <v/>
      </c>
      <c r="R1015" s="36" t="str">
        <f t="array" ref="R1015">IF(AND($Y1015="change",$H1015="EUR"),IF(AND($AA1015="Crédit",$O1015=$O1016),$R1016,IF(AND($AA1015="Débit",$O1015=$O1014),$R1014)),IF(OR(AND(OR($E1015&lt;&gt;"",$M1015=""),$N1015&lt;&gt;0),$A1015=""),IFERROR(INDEX(Investment!$H:$H,MATCH($E1015,Investment!$F:$F,0))),IFERROR(INDEX($R1016:$R1119,MATCH(SUBSTITUTE($I1015,"-","",1),$K1016:$K1119,0)),INDEX($R1016:$R1119,MATCH($K1015,$K1016:$K1119,0)))))</f>
        <v/>
      </c>
      <c r="S1015" s="35" t="str">
        <f t="shared" si="2"/>
        <v/>
      </c>
      <c r="T1015" s="37" t="str">
        <f t="shared" si="3"/>
        <v/>
      </c>
      <c r="U1015" s="38" t="str">
        <f t="shared" si="4"/>
        <v/>
      </c>
      <c r="V1015" s="31" t="str">
        <f t="shared" si="5"/>
        <v/>
      </c>
      <c r="W1015" s="39" t="str">
        <f>IFERROR(__xludf.DUMMYFUNCTION(" IF(Account!$F1015&lt;&gt;"""", SPLIT(Account!$F1015, "" ""), """")"),"")</f>
        <v/>
      </c>
      <c r="X1015" s="40"/>
      <c r="Y1015" s="40"/>
      <c r="Z1015" s="40"/>
      <c r="AA1015" s="40"/>
      <c r="AB1015" s="40"/>
      <c r="AC1015" s="40"/>
      <c r="AD1015" s="40"/>
      <c r="AE1015" s="40"/>
      <c r="AF1015" s="40"/>
      <c r="AG1015" s="40"/>
      <c r="AH1015" s="40"/>
      <c r="AI1015" s="40"/>
      <c r="AJ1015" s="40"/>
      <c r="AK1015" s="40"/>
    </row>
    <row r="1016">
      <c r="A1016" s="300"/>
      <c r="B1016" s="300"/>
      <c r="C1016" s="300"/>
      <c r="D1016" s="300"/>
      <c r="E1016" s="300"/>
      <c r="F1016" s="329"/>
      <c r="G1016" s="300"/>
      <c r="H1016" s="300"/>
      <c r="I1016" s="300"/>
      <c r="J1016" s="300"/>
      <c r="K1016" s="300"/>
      <c r="L1016" s="329"/>
      <c r="M1016" s="29" t="str">
        <f t="shared" si="1"/>
        <v/>
      </c>
      <c r="N1016" s="31" t="str">
        <f>IFERROR(__xludf.DUMMYFUNCTION("IF(Account!$F1016&lt;&gt;"""", VALUE(REGEXREPLACE($I1016, ""\,"", ""."")), """")"),"")</f>
        <v/>
      </c>
      <c r="O1016" s="33" t="str">
        <f>IF(Account!$F1016&lt;&gt;"", DATEVALUE(MID($A1016,4,3) &amp; LEFT($A1016,3) &amp; RIGHT($A1016,4)) + TIMEVALUE($B1016), "")</f>
        <v/>
      </c>
      <c r="P1016" s="34" t="str">
        <f>IF(Account!$F1016&lt;&gt;"", DATEVALUE(MID($C1016,4,3) &amp; LEFT($C1016,3) &amp; RIGHT($C1016,4)), "")</f>
        <v/>
      </c>
      <c r="Q1016" s="35" t="str">
        <f t="array" ref="Q1016">IF($R1016&lt;&gt;"",IFERROR(INDEX(Investment!$A:$A,MATCH($R1016,Investment!$H:$H,0))),)</f>
        <v/>
      </c>
      <c r="R1016" s="36" t="str">
        <f t="array" ref="R1016">IF(AND($Y1016="change",$H1016="EUR"),IF(AND($AA1016="Crédit",$O1016=$O1017),$R1017,IF(AND($AA1016="Débit",$O1016=$O1015),$R1015)),IF(OR(AND(OR($E1016&lt;&gt;"",$M1016=""),$N1016&lt;&gt;0),$A1016=""),IFERROR(INDEX(Investment!$H:$H,MATCH($E1016,Investment!$F:$F,0))),IFERROR(INDEX($R1017:$R1119,MATCH(SUBSTITUTE($I1016,"-","",1),$K1017:$K1119,0)),INDEX($R1017:$R1119,MATCH($K1016,$K1017:$K1119,0)))))</f>
        <v/>
      </c>
      <c r="S1016" s="35" t="str">
        <f t="shared" si="2"/>
        <v/>
      </c>
      <c r="T1016" s="37" t="str">
        <f t="shared" si="3"/>
        <v/>
      </c>
      <c r="U1016" s="38" t="str">
        <f t="shared" si="4"/>
        <v/>
      </c>
      <c r="V1016" s="31" t="str">
        <f t="shared" si="5"/>
        <v/>
      </c>
      <c r="W1016" s="39" t="str">
        <f>IFERROR(__xludf.DUMMYFUNCTION(" IF(Account!$F1016&lt;&gt;"""", SPLIT(Account!$F1016, "" ""), """")"),"")</f>
        <v/>
      </c>
      <c r="X1016" s="40"/>
      <c r="Y1016" s="40"/>
      <c r="Z1016" s="40"/>
      <c r="AA1016" s="40"/>
      <c r="AB1016" s="40"/>
      <c r="AC1016" s="40"/>
      <c r="AD1016" s="40"/>
      <c r="AE1016" s="40"/>
      <c r="AF1016" s="40"/>
      <c r="AG1016" s="40"/>
      <c r="AH1016" s="40"/>
      <c r="AI1016" s="40"/>
      <c r="AJ1016" s="40"/>
      <c r="AK1016" s="40"/>
    </row>
    <row r="1017">
      <c r="A1017" s="300"/>
      <c r="B1017" s="300"/>
      <c r="C1017" s="300"/>
      <c r="D1017" s="300"/>
      <c r="E1017" s="300"/>
      <c r="F1017" s="329"/>
      <c r="G1017" s="300"/>
      <c r="H1017" s="300"/>
      <c r="I1017" s="300"/>
      <c r="J1017" s="300"/>
      <c r="K1017" s="300"/>
      <c r="L1017" s="329"/>
      <c r="M1017" s="29" t="str">
        <f t="shared" si="1"/>
        <v/>
      </c>
      <c r="N1017" s="31" t="str">
        <f>IFERROR(__xludf.DUMMYFUNCTION("IF(Account!$F1017&lt;&gt;"""", VALUE(REGEXREPLACE($I1017, ""\,"", ""."")), """")"),"")</f>
        <v/>
      </c>
      <c r="O1017" s="33" t="str">
        <f>IF(Account!$F1017&lt;&gt;"", DATEVALUE(MID($A1017,4,3) &amp; LEFT($A1017,3) &amp; RIGHT($A1017,4)) + TIMEVALUE($B1017), "")</f>
        <v/>
      </c>
      <c r="P1017" s="34" t="str">
        <f>IF(Account!$F1017&lt;&gt;"", DATEVALUE(MID($C1017,4,3) &amp; LEFT($C1017,3) &amp; RIGHT($C1017,4)), "")</f>
        <v/>
      </c>
      <c r="Q1017" s="35" t="str">
        <f t="array" ref="Q1017">IF($R1017&lt;&gt;"",IFERROR(INDEX(Investment!$A:$A,MATCH($R1017,Investment!$H:$H,0))),)</f>
        <v/>
      </c>
      <c r="R1017" s="36" t="str">
        <f t="array" ref="R1017">IF(AND($Y1017="change",$H1017="EUR"),IF(AND($AA1017="Crédit",$O1017=$O1018),$R1018,IF(AND($AA1017="Débit",$O1017=$O1016),$R1016)),IF(OR(AND(OR($E1017&lt;&gt;"",$M1017=""),$N1017&lt;&gt;0),$A1017=""),IFERROR(INDEX(Investment!$H:$H,MATCH($E1017,Investment!$F:$F,0))),IFERROR(INDEX($R1018:$R1119,MATCH(SUBSTITUTE($I1017,"-","",1),$K1018:$K1119,0)),INDEX($R1018:$R1119,MATCH($K1017,$K1018:$K1119,0)))))</f>
        <v/>
      </c>
      <c r="S1017" s="35" t="str">
        <f t="shared" si="2"/>
        <v/>
      </c>
      <c r="T1017" s="37" t="str">
        <f t="shared" si="3"/>
        <v/>
      </c>
      <c r="U1017" s="38" t="str">
        <f t="shared" si="4"/>
        <v/>
      </c>
      <c r="V1017" s="31" t="str">
        <f t="shared" si="5"/>
        <v/>
      </c>
      <c r="W1017" s="39" t="str">
        <f>IFERROR(__xludf.DUMMYFUNCTION(" IF(Account!$F1017&lt;&gt;"""", SPLIT(Account!$F1017, "" ""), """")"),"")</f>
        <v/>
      </c>
      <c r="X1017" s="40"/>
      <c r="Y1017" s="40"/>
      <c r="Z1017" s="40"/>
      <c r="AA1017" s="40"/>
      <c r="AB1017" s="40"/>
      <c r="AC1017" s="40"/>
      <c r="AD1017" s="40"/>
      <c r="AE1017" s="40"/>
      <c r="AF1017" s="40"/>
      <c r="AG1017" s="40"/>
      <c r="AH1017" s="40"/>
      <c r="AI1017" s="40"/>
      <c r="AJ1017" s="40"/>
      <c r="AK1017" s="40"/>
    </row>
    <row r="1018">
      <c r="A1018" s="300"/>
      <c r="B1018" s="300"/>
      <c r="C1018" s="300"/>
      <c r="D1018" s="300"/>
      <c r="E1018" s="300"/>
      <c r="F1018" s="329"/>
      <c r="G1018" s="300"/>
      <c r="H1018" s="300"/>
      <c r="I1018" s="300"/>
      <c r="J1018" s="300"/>
      <c r="K1018" s="300"/>
      <c r="L1018" s="329"/>
      <c r="M1018" s="29" t="str">
        <f t="shared" si="1"/>
        <v/>
      </c>
      <c r="N1018" s="31" t="str">
        <f>IFERROR(__xludf.DUMMYFUNCTION("IF(Account!$F1018&lt;&gt;"""", VALUE(REGEXREPLACE($I1018, ""\,"", ""."")), """")"),"")</f>
        <v/>
      </c>
      <c r="O1018" s="33" t="str">
        <f>IF(Account!$F1018&lt;&gt;"", DATEVALUE(MID($A1018,4,3) &amp; LEFT($A1018,3) &amp; RIGHT($A1018,4)) + TIMEVALUE($B1018), "")</f>
        <v/>
      </c>
      <c r="P1018" s="34" t="str">
        <f>IF(Account!$F1018&lt;&gt;"", DATEVALUE(MID($C1018,4,3) &amp; LEFT($C1018,3) &amp; RIGHT($C1018,4)), "")</f>
        <v/>
      </c>
      <c r="Q1018" s="35" t="str">
        <f t="array" ref="Q1018">IF($R1018&lt;&gt;"",IFERROR(INDEX(Investment!$A:$A,MATCH($R1018,Investment!$H:$H,0))),)</f>
        <v/>
      </c>
      <c r="R1018" s="36" t="str">
        <f t="array" ref="R1018">IF(AND($Y1018="change",$H1018="EUR"),IF(AND($AA1018="Crédit",$O1018=$O1019),$R1019,IF(AND($AA1018="Débit",$O1018=$O1017),$R1017)),IF(OR(AND(OR($E1018&lt;&gt;"",$M1018=""),$N1018&lt;&gt;0),$A1018=""),IFERROR(INDEX(Investment!$H:$H,MATCH($E1018,Investment!$F:$F,0))),IFERROR(INDEX($R1019:$R1119,MATCH(SUBSTITUTE($I1018,"-","",1),$K1019:$K1119,0)),INDEX($R1019:$R1119,MATCH($K1018,$K1019:$K1119,0)))))</f>
        <v/>
      </c>
      <c r="S1018" s="35" t="str">
        <f t="shared" si="2"/>
        <v/>
      </c>
      <c r="T1018" s="37" t="str">
        <f t="shared" si="3"/>
        <v/>
      </c>
      <c r="U1018" s="38" t="str">
        <f t="shared" si="4"/>
        <v/>
      </c>
      <c r="V1018" s="31" t="str">
        <f t="shared" si="5"/>
        <v/>
      </c>
      <c r="W1018" s="39" t="str">
        <f>IFERROR(__xludf.DUMMYFUNCTION(" IF(Account!$F1018&lt;&gt;"""", SPLIT(Account!$F1018, "" ""), """")"),"")</f>
        <v/>
      </c>
      <c r="X1018" s="40"/>
      <c r="Y1018" s="40"/>
      <c r="Z1018" s="40"/>
      <c r="AA1018" s="40"/>
      <c r="AB1018" s="40"/>
      <c r="AC1018" s="40"/>
      <c r="AD1018" s="40"/>
      <c r="AE1018" s="40"/>
      <c r="AF1018" s="40"/>
      <c r="AG1018" s="40"/>
      <c r="AH1018" s="40"/>
      <c r="AI1018" s="40"/>
      <c r="AJ1018" s="40"/>
      <c r="AK1018" s="40"/>
    </row>
    <row r="1019">
      <c r="A1019" s="300"/>
      <c r="B1019" s="300"/>
      <c r="C1019" s="300"/>
      <c r="D1019" s="300"/>
      <c r="E1019" s="300"/>
      <c r="F1019" s="329"/>
      <c r="G1019" s="300"/>
      <c r="H1019" s="300"/>
      <c r="I1019" s="300"/>
      <c r="J1019" s="300"/>
      <c r="K1019" s="300"/>
      <c r="L1019" s="329"/>
      <c r="M1019" s="29" t="str">
        <f t="shared" si="1"/>
        <v/>
      </c>
      <c r="N1019" s="31" t="str">
        <f>IFERROR(__xludf.DUMMYFUNCTION("IF(Account!$F1019&lt;&gt;"""", VALUE(REGEXREPLACE($I1019, ""\,"", ""."")), """")"),"")</f>
        <v/>
      </c>
      <c r="O1019" s="33" t="str">
        <f>IF(Account!$F1019&lt;&gt;"", DATEVALUE(MID($A1019,4,3) &amp; LEFT($A1019,3) &amp; RIGHT($A1019,4)) + TIMEVALUE($B1019), "")</f>
        <v/>
      </c>
      <c r="P1019" s="34" t="str">
        <f>IF(Account!$F1019&lt;&gt;"", DATEVALUE(MID($C1019,4,3) &amp; LEFT($C1019,3) &amp; RIGHT($C1019,4)), "")</f>
        <v/>
      </c>
      <c r="Q1019" s="35" t="str">
        <f t="array" ref="Q1019">IF($R1019&lt;&gt;"",IFERROR(INDEX(Investment!$A:$A,MATCH($R1019,Investment!$H:$H,0))),)</f>
        <v/>
      </c>
      <c r="R1019" s="36" t="str">
        <f t="array" ref="R1019">IF(AND($Y1019="change",$H1019="EUR"),IF(AND($AA1019="Crédit",$O1019=$O1020),$R1020,IF(AND($AA1019="Débit",$O1019=$O1018),$R1018)),IF(OR(AND(OR($E1019&lt;&gt;"",$M1019=""),$N1019&lt;&gt;0),$A1019=""),IFERROR(INDEX(Investment!$H:$H,MATCH($E1019,Investment!$F:$F,0))),IFERROR(INDEX($R1020:$R1119,MATCH(SUBSTITUTE($I1019,"-","",1),$K1020:$K1119,0)),INDEX($R1020:$R1119,MATCH($K1019,$K1020:$K1119,0)))))</f>
        <v/>
      </c>
      <c r="S1019" s="35" t="str">
        <f t="shared" si="2"/>
        <v/>
      </c>
      <c r="T1019" s="37" t="str">
        <f t="shared" si="3"/>
        <v/>
      </c>
      <c r="U1019" s="38" t="str">
        <f t="shared" si="4"/>
        <v/>
      </c>
      <c r="V1019" s="31" t="str">
        <f t="shared" si="5"/>
        <v/>
      </c>
      <c r="W1019" s="39" t="str">
        <f>IFERROR(__xludf.DUMMYFUNCTION(" IF(Account!$F1019&lt;&gt;"""", SPLIT(Account!$F1019, "" ""), """")"),"")</f>
        <v/>
      </c>
      <c r="X1019" s="40"/>
      <c r="Y1019" s="40"/>
      <c r="Z1019" s="40"/>
      <c r="AA1019" s="40"/>
      <c r="AB1019" s="40"/>
      <c r="AC1019" s="40"/>
      <c r="AD1019" s="40"/>
      <c r="AE1019" s="40"/>
      <c r="AF1019" s="40"/>
      <c r="AG1019" s="40"/>
      <c r="AH1019" s="40"/>
      <c r="AI1019" s="40"/>
      <c r="AJ1019" s="40"/>
      <c r="AK1019" s="40"/>
    </row>
    <row r="1020">
      <c r="A1020" s="300"/>
      <c r="B1020" s="300"/>
      <c r="C1020" s="300"/>
      <c r="D1020" s="300"/>
      <c r="E1020" s="300"/>
      <c r="F1020" s="329"/>
      <c r="G1020" s="300"/>
      <c r="H1020" s="300"/>
      <c r="I1020" s="300"/>
      <c r="J1020" s="300"/>
      <c r="K1020" s="300"/>
      <c r="L1020" s="329"/>
      <c r="M1020" s="29" t="str">
        <f t="shared" si="1"/>
        <v/>
      </c>
      <c r="N1020" s="31" t="str">
        <f>IFERROR(__xludf.DUMMYFUNCTION("IF(Account!$F1020&lt;&gt;"""", VALUE(REGEXREPLACE($I1020, ""\,"", ""."")), """")"),"")</f>
        <v/>
      </c>
      <c r="O1020" s="33" t="str">
        <f>IF(Account!$F1020&lt;&gt;"", DATEVALUE(MID($A1020,4,3) &amp; LEFT($A1020,3) &amp; RIGHT($A1020,4)) + TIMEVALUE($B1020), "")</f>
        <v/>
      </c>
      <c r="P1020" s="34" t="str">
        <f>IF(Account!$F1020&lt;&gt;"", DATEVALUE(MID($C1020,4,3) &amp; LEFT($C1020,3) &amp; RIGHT($C1020,4)), "")</f>
        <v/>
      </c>
      <c r="Q1020" s="35" t="str">
        <f t="array" ref="Q1020">IF($R1020&lt;&gt;"",IFERROR(INDEX(Investment!$A:$A,MATCH($R1020,Investment!$H:$H,0))),)</f>
        <v/>
      </c>
      <c r="R1020" s="36" t="str">
        <f t="array" ref="R1020">IF(AND($Y1020="change",$H1020="EUR"),IF(AND($AA1020="Crédit",$O1020=$O1021),$R1021,IF(AND($AA1020="Débit",$O1020=$O1019),$R1019)),IF(OR(AND(OR($E1020&lt;&gt;"",$M1020=""),$N1020&lt;&gt;0),$A1020=""),IFERROR(INDEX(Investment!$H:$H,MATCH($E1020,Investment!$F:$F,0))),IFERROR(INDEX($R1021:$R1119,MATCH(SUBSTITUTE($I1020,"-","",1),$K1021:$K1119,0)),INDEX($R1021:$R1119,MATCH($K1020,$K1021:$K1119,0)))))</f>
        <v/>
      </c>
      <c r="S1020" s="35" t="str">
        <f t="shared" si="2"/>
        <v/>
      </c>
      <c r="T1020" s="37" t="str">
        <f t="shared" si="3"/>
        <v/>
      </c>
      <c r="U1020" s="38" t="str">
        <f t="shared" si="4"/>
        <v/>
      </c>
      <c r="V1020" s="31" t="str">
        <f t="shared" si="5"/>
        <v/>
      </c>
      <c r="W1020" s="39" t="str">
        <f>IFERROR(__xludf.DUMMYFUNCTION(" IF(Account!$F1020&lt;&gt;"""", SPLIT(Account!$F1020, "" ""), """")"),"")</f>
        <v/>
      </c>
      <c r="X1020" s="40"/>
      <c r="Y1020" s="40"/>
      <c r="Z1020" s="40"/>
      <c r="AA1020" s="40"/>
      <c r="AB1020" s="40"/>
      <c r="AC1020" s="40"/>
      <c r="AD1020" s="40"/>
      <c r="AE1020" s="40"/>
      <c r="AF1020" s="40"/>
      <c r="AG1020" s="40"/>
      <c r="AH1020" s="40"/>
      <c r="AI1020" s="40"/>
      <c r="AJ1020" s="40"/>
      <c r="AK1020" s="40"/>
    </row>
    <row r="1021">
      <c r="A1021" s="300"/>
      <c r="B1021" s="300"/>
      <c r="C1021" s="300"/>
      <c r="D1021" s="300"/>
      <c r="E1021" s="300"/>
      <c r="F1021" s="329"/>
      <c r="G1021" s="300"/>
      <c r="H1021" s="300"/>
      <c r="I1021" s="300"/>
      <c r="J1021" s="300"/>
      <c r="K1021" s="300"/>
      <c r="L1021" s="329"/>
      <c r="M1021" s="29" t="str">
        <f t="shared" si="1"/>
        <v/>
      </c>
      <c r="N1021" s="31" t="str">
        <f>IFERROR(__xludf.DUMMYFUNCTION("IF(Account!$F1021&lt;&gt;"""", VALUE(REGEXREPLACE($I1021, ""\,"", ""."")), """")"),"")</f>
        <v/>
      </c>
      <c r="O1021" s="33" t="str">
        <f>IF(Account!$F1021&lt;&gt;"", DATEVALUE(MID($A1021,4,3) &amp; LEFT($A1021,3) &amp; RIGHT($A1021,4)) + TIMEVALUE($B1021), "")</f>
        <v/>
      </c>
      <c r="P1021" s="34" t="str">
        <f>IF(Account!$F1021&lt;&gt;"", DATEVALUE(MID($C1021,4,3) &amp; LEFT($C1021,3) &amp; RIGHT($C1021,4)), "")</f>
        <v/>
      </c>
      <c r="Q1021" s="35" t="str">
        <f t="array" ref="Q1021">IF($R1021&lt;&gt;"",IFERROR(INDEX(Investment!$A:$A,MATCH($R1021,Investment!$H:$H,0))),)</f>
        <v/>
      </c>
      <c r="R1021" s="36" t="str">
        <f t="array" ref="R1021">IF(AND($Y1021="change",$H1021="EUR"),IF(AND($AA1021="Crédit",$O1021=$O1022),$R1022,IF(AND($AA1021="Débit",$O1021=$O1020),$R1020)),IF(OR(AND(OR($E1021&lt;&gt;"",$M1021=""),$N1021&lt;&gt;0),$A1021=""),IFERROR(INDEX(Investment!$H:$H,MATCH($E1021,Investment!$F:$F,0))),IFERROR(INDEX($R1022:$R1119,MATCH(SUBSTITUTE($I1021,"-","",1),$K1022:$K1119,0)),INDEX($R1022:$R1119,MATCH($K1021,$K1022:$K1119,0)))))</f>
        <v/>
      </c>
      <c r="S1021" s="35" t="str">
        <f t="shared" si="2"/>
        <v/>
      </c>
      <c r="T1021" s="37" t="str">
        <f t="shared" si="3"/>
        <v/>
      </c>
      <c r="U1021" s="38" t="str">
        <f t="shared" si="4"/>
        <v/>
      </c>
      <c r="V1021" s="31" t="str">
        <f t="shared" si="5"/>
        <v/>
      </c>
      <c r="W1021" s="39" t="str">
        <f>IFERROR(__xludf.DUMMYFUNCTION(" IF(Account!$F1021&lt;&gt;"""", SPLIT(Account!$F1021, "" ""), """")"),"")</f>
        <v/>
      </c>
      <c r="X1021" s="40"/>
      <c r="Y1021" s="40"/>
      <c r="Z1021" s="40"/>
      <c r="AA1021" s="40"/>
      <c r="AB1021" s="40"/>
      <c r="AC1021" s="40"/>
      <c r="AD1021" s="40"/>
      <c r="AE1021" s="40"/>
      <c r="AF1021" s="40"/>
      <c r="AG1021" s="40"/>
      <c r="AH1021" s="40"/>
      <c r="AI1021" s="40"/>
      <c r="AJ1021" s="40"/>
      <c r="AK1021" s="40"/>
    </row>
    <row r="1022">
      <c r="A1022" s="300"/>
      <c r="B1022" s="300"/>
      <c r="C1022" s="300"/>
      <c r="D1022" s="300"/>
      <c r="E1022" s="300"/>
      <c r="F1022" s="329"/>
      <c r="G1022" s="300"/>
      <c r="H1022" s="300"/>
      <c r="I1022" s="300"/>
      <c r="J1022" s="300"/>
      <c r="K1022" s="300"/>
      <c r="L1022" s="329"/>
      <c r="M1022" s="29" t="str">
        <f t="shared" si="1"/>
        <v/>
      </c>
      <c r="N1022" s="31" t="str">
        <f>IFERROR(__xludf.DUMMYFUNCTION("IF(Account!$F1022&lt;&gt;"""", VALUE(REGEXREPLACE($I1022, ""\,"", ""."")), """")"),"")</f>
        <v/>
      </c>
      <c r="O1022" s="33" t="str">
        <f>IF(Account!$F1022&lt;&gt;"", DATEVALUE(MID($A1022,4,3) &amp; LEFT($A1022,3) &amp; RIGHT($A1022,4)) + TIMEVALUE($B1022), "")</f>
        <v/>
      </c>
      <c r="P1022" s="34" t="str">
        <f>IF(Account!$F1022&lt;&gt;"", DATEVALUE(MID($C1022,4,3) &amp; LEFT($C1022,3) &amp; RIGHT($C1022,4)), "")</f>
        <v/>
      </c>
      <c r="Q1022" s="35" t="str">
        <f t="array" ref="Q1022">IF($R1022&lt;&gt;"",IFERROR(INDEX(Investment!$A:$A,MATCH($R1022,Investment!$H:$H,0))),)</f>
        <v/>
      </c>
      <c r="R1022" s="36" t="str">
        <f t="array" ref="R1022">IF(AND($Y1022="change",$H1022="EUR"),IF(AND($AA1022="Crédit",$O1022=$O1023),$R1023,IF(AND($AA1022="Débit",$O1022=$O1021),$R1021)),IF(OR(AND(OR($E1022&lt;&gt;"",$M1022=""),$N1022&lt;&gt;0),$A1022=""),IFERROR(INDEX(Investment!$H:$H,MATCH($E1022,Investment!$F:$F,0))),IFERROR(INDEX($R1023:$R1119,MATCH(SUBSTITUTE($I1022,"-","",1),$K1023:$K1119,0)),INDEX($R1023:$R1119,MATCH($K1022,$K1023:$K1119,0)))))</f>
        <v/>
      </c>
      <c r="S1022" s="35" t="str">
        <f t="shared" si="2"/>
        <v/>
      </c>
      <c r="T1022" s="37" t="str">
        <f t="shared" si="3"/>
        <v/>
      </c>
      <c r="U1022" s="38" t="str">
        <f t="shared" si="4"/>
        <v/>
      </c>
      <c r="V1022" s="31" t="str">
        <f t="shared" si="5"/>
        <v/>
      </c>
      <c r="W1022" s="39" t="str">
        <f>IFERROR(__xludf.DUMMYFUNCTION(" IF(Account!$F1022&lt;&gt;"""", SPLIT(Account!$F1022, "" ""), """")"),"")</f>
        <v/>
      </c>
      <c r="X1022" s="40"/>
      <c r="Y1022" s="40"/>
      <c r="Z1022" s="40"/>
      <c r="AA1022" s="40"/>
      <c r="AB1022" s="40"/>
      <c r="AC1022" s="40"/>
      <c r="AD1022" s="40"/>
      <c r="AE1022" s="40"/>
      <c r="AF1022" s="40"/>
      <c r="AG1022" s="40"/>
      <c r="AH1022" s="40"/>
      <c r="AI1022" s="40"/>
      <c r="AJ1022" s="40"/>
      <c r="AK1022" s="40"/>
    </row>
    <row r="1023">
      <c r="A1023" s="300"/>
      <c r="B1023" s="300"/>
      <c r="C1023" s="300"/>
      <c r="D1023" s="300"/>
      <c r="E1023" s="300"/>
      <c r="F1023" s="329"/>
      <c r="G1023" s="300"/>
      <c r="H1023" s="300"/>
      <c r="I1023" s="300"/>
      <c r="J1023" s="300"/>
      <c r="K1023" s="300"/>
      <c r="L1023" s="329"/>
      <c r="M1023" s="29" t="str">
        <f t="shared" si="1"/>
        <v/>
      </c>
      <c r="N1023" s="31" t="str">
        <f>IFERROR(__xludf.DUMMYFUNCTION("IF(Account!$F1023&lt;&gt;"""", VALUE(REGEXREPLACE($I1023, ""\,"", ""."")), """")"),"")</f>
        <v/>
      </c>
      <c r="O1023" s="33" t="str">
        <f>IF(Account!$F1023&lt;&gt;"", DATEVALUE(MID($A1023,4,3) &amp; LEFT($A1023,3) &amp; RIGHT($A1023,4)) + TIMEVALUE($B1023), "")</f>
        <v/>
      </c>
      <c r="P1023" s="34" t="str">
        <f>IF(Account!$F1023&lt;&gt;"", DATEVALUE(MID($C1023,4,3) &amp; LEFT($C1023,3) &amp; RIGHT($C1023,4)), "")</f>
        <v/>
      </c>
      <c r="Q1023" s="35" t="str">
        <f t="array" ref="Q1023">IF($R1023&lt;&gt;"",IFERROR(INDEX(Investment!$A:$A,MATCH($R1023,Investment!$H:$H,0))),)</f>
        <v/>
      </c>
      <c r="R1023" s="36" t="str">
        <f t="array" ref="R1023">IF(AND($Y1023="change",$H1023="EUR"),IF(AND($AA1023="Crédit",$O1023=$O1024),$R1024,IF(AND($AA1023="Débit",$O1023=$O1022),$R1022)),IF(OR(AND(OR($E1023&lt;&gt;"",$M1023=""),$N1023&lt;&gt;0),$A1023=""),IFERROR(INDEX(Investment!$H:$H,MATCH($E1023,Investment!$F:$F,0))),IFERROR(INDEX($R1024:$R1119,MATCH(SUBSTITUTE($I1023,"-","",1),$K1024:$K1119,0)),INDEX($R1024:$R1119,MATCH($K1023,$K1024:$K1119,0)))))</f>
        <v/>
      </c>
      <c r="S1023" s="35" t="str">
        <f t="shared" si="2"/>
        <v/>
      </c>
      <c r="T1023" s="37" t="str">
        <f t="shared" si="3"/>
        <v/>
      </c>
      <c r="U1023" s="38" t="str">
        <f t="shared" si="4"/>
        <v/>
      </c>
      <c r="V1023" s="31" t="str">
        <f t="shared" si="5"/>
        <v/>
      </c>
      <c r="W1023" s="39" t="str">
        <f>IFERROR(__xludf.DUMMYFUNCTION(" IF(Account!$F1023&lt;&gt;"""", SPLIT(Account!$F1023, "" ""), """")"),"")</f>
        <v/>
      </c>
      <c r="X1023" s="40"/>
      <c r="Y1023" s="40"/>
      <c r="Z1023" s="40"/>
      <c r="AA1023" s="40"/>
      <c r="AB1023" s="40"/>
      <c r="AC1023" s="40"/>
      <c r="AD1023" s="40"/>
      <c r="AE1023" s="40"/>
      <c r="AF1023" s="40"/>
      <c r="AG1023" s="40"/>
      <c r="AH1023" s="40"/>
      <c r="AI1023" s="40"/>
      <c r="AJ1023" s="40"/>
      <c r="AK1023" s="40"/>
    </row>
    <row r="1024">
      <c r="A1024" s="300"/>
      <c r="B1024" s="300"/>
      <c r="C1024" s="300"/>
      <c r="D1024" s="300"/>
      <c r="E1024" s="300"/>
      <c r="F1024" s="329"/>
      <c r="G1024" s="300"/>
      <c r="H1024" s="300"/>
      <c r="I1024" s="300"/>
      <c r="J1024" s="300"/>
      <c r="K1024" s="300"/>
      <c r="L1024" s="329"/>
      <c r="M1024" s="29" t="str">
        <f t="shared" si="1"/>
        <v/>
      </c>
      <c r="N1024" s="31" t="str">
        <f>IFERROR(__xludf.DUMMYFUNCTION("IF(Account!$F1024&lt;&gt;"""", VALUE(REGEXREPLACE($I1024, ""\,"", ""."")), """")"),"")</f>
        <v/>
      </c>
      <c r="O1024" s="33" t="str">
        <f>IF(Account!$F1024&lt;&gt;"", DATEVALUE(MID($A1024,4,3) &amp; LEFT($A1024,3) &amp; RIGHT($A1024,4)) + TIMEVALUE($B1024), "")</f>
        <v/>
      </c>
      <c r="P1024" s="34" t="str">
        <f>IF(Account!$F1024&lt;&gt;"", DATEVALUE(MID($C1024,4,3) &amp; LEFT($C1024,3) &amp; RIGHT($C1024,4)), "")</f>
        <v/>
      </c>
      <c r="Q1024" s="35" t="str">
        <f t="array" ref="Q1024">IF($R1024&lt;&gt;"",IFERROR(INDEX(Investment!$A:$A,MATCH($R1024,Investment!$H:$H,0))),)</f>
        <v/>
      </c>
      <c r="R1024" s="36" t="str">
        <f t="array" ref="R1024">IF(AND($Y1024="change",$H1024="EUR"),IF(AND($AA1024="Crédit",$O1024=$O1025),$R1025,IF(AND($AA1024="Débit",$O1024=$O1023),$R1023)),IF(OR(AND(OR($E1024&lt;&gt;"",$M1024=""),$N1024&lt;&gt;0),$A1024=""),IFERROR(INDEX(Investment!$H:$H,MATCH($E1024,Investment!$F:$F,0))),IFERROR(INDEX($R1025:$R1119,MATCH(SUBSTITUTE($I1024,"-","",1),$K1025:$K1119,0)),INDEX($R1025:$R1119,MATCH($K1024,$K1025:$K1119,0)))))</f>
        <v/>
      </c>
      <c r="S1024" s="35" t="str">
        <f t="shared" si="2"/>
        <v/>
      </c>
      <c r="T1024" s="37" t="str">
        <f t="shared" si="3"/>
        <v/>
      </c>
      <c r="U1024" s="38" t="str">
        <f t="shared" si="4"/>
        <v/>
      </c>
      <c r="V1024" s="31" t="str">
        <f t="shared" si="5"/>
        <v/>
      </c>
      <c r="W1024" s="39" t="str">
        <f>IFERROR(__xludf.DUMMYFUNCTION(" IF(Account!$F1024&lt;&gt;"""", SPLIT(Account!$F1024, "" ""), """")"),"")</f>
        <v/>
      </c>
      <c r="X1024" s="40"/>
      <c r="Y1024" s="40"/>
      <c r="Z1024" s="40"/>
      <c r="AA1024" s="40"/>
      <c r="AB1024" s="40"/>
      <c r="AC1024" s="40"/>
      <c r="AD1024" s="40"/>
      <c r="AE1024" s="40"/>
      <c r="AF1024" s="40"/>
      <c r="AG1024" s="40"/>
      <c r="AH1024" s="40"/>
      <c r="AI1024" s="40"/>
      <c r="AJ1024" s="40"/>
      <c r="AK1024" s="40"/>
    </row>
    <row r="1025">
      <c r="A1025" s="300"/>
      <c r="B1025" s="300"/>
      <c r="C1025" s="300"/>
      <c r="D1025" s="300"/>
      <c r="E1025" s="300"/>
      <c r="F1025" s="329"/>
      <c r="G1025" s="300"/>
      <c r="H1025" s="300"/>
      <c r="I1025" s="300"/>
      <c r="J1025" s="300"/>
      <c r="K1025" s="300"/>
      <c r="L1025" s="329"/>
      <c r="M1025" s="29" t="str">
        <f t="shared" si="1"/>
        <v/>
      </c>
      <c r="N1025" s="31" t="str">
        <f>IFERROR(__xludf.DUMMYFUNCTION("IF(Account!$F1025&lt;&gt;"""", VALUE(REGEXREPLACE($I1025, ""\,"", ""."")), """")"),"")</f>
        <v/>
      </c>
      <c r="O1025" s="33" t="str">
        <f>IF(Account!$F1025&lt;&gt;"", DATEVALUE(MID($A1025,4,3) &amp; LEFT($A1025,3) &amp; RIGHT($A1025,4)) + TIMEVALUE($B1025), "")</f>
        <v/>
      </c>
      <c r="P1025" s="34" t="str">
        <f>IF(Account!$F1025&lt;&gt;"", DATEVALUE(MID($C1025,4,3) &amp; LEFT($C1025,3) &amp; RIGHT($C1025,4)), "")</f>
        <v/>
      </c>
      <c r="Q1025" s="35" t="str">
        <f t="array" ref="Q1025">IF($R1025&lt;&gt;"",IFERROR(INDEX(Investment!$A:$A,MATCH($R1025,Investment!$H:$H,0))),)</f>
        <v/>
      </c>
      <c r="R1025" s="36" t="str">
        <f t="array" ref="R1025">IF(AND($Y1025="change",$H1025="EUR"),IF(AND($AA1025="Crédit",$O1025=$O1026),$R1026,IF(AND($AA1025="Débit",$O1025=$O1024),$R1024)),IF(OR(AND(OR($E1025&lt;&gt;"",$M1025=""),$N1025&lt;&gt;0),$A1025=""),IFERROR(INDEX(Investment!$H:$H,MATCH($E1025,Investment!$F:$F,0))),IFERROR(INDEX($R1026:$R1119,MATCH(SUBSTITUTE($I1025,"-","",1),$K1026:$K1119,0)),INDEX($R1026:$R1119,MATCH($K1025,$K1026:$K1119,0)))))</f>
        <v/>
      </c>
      <c r="S1025" s="35" t="str">
        <f t="shared" si="2"/>
        <v/>
      </c>
      <c r="T1025" s="37" t="str">
        <f t="shared" si="3"/>
        <v/>
      </c>
      <c r="U1025" s="38" t="str">
        <f t="shared" si="4"/>
        <v/>
      </c>
      <c r="V1025" s="31" t="str">
        <f t="shared" si="5"/>
        <v/>
      </c>
      <c r="W1025" s="39" t="str">
        <f>IFERROR(__xludf.DUMMYFUNCTION(" IF(Account!$F1025&lt;&gt;"""", SPLIT(Account!$F1025, "" ""), """")"),"")</f>
        <v/>
      </c>
      <c r="X1025" s="40"/>
      <c r="Y1025" s="40"/>
      <c r="Z1025" s="40"/>
      <c r="AA1025" s="40"/>
      <c r="AB1025" s="40"/>
      <c r="AC1025" s="40"/>
      <c r="AD1025" s="40"/>
      <c r="AE1025" s="40"/>
      <c r="AF1025" s="40"/>
      <c r="AG1025" s="40"/>
      <c r="AH1025" s="40"/>
      <c r="AI1025" s="40"/>
      <c r="AJ1025" s="40"/>
      <c r="AK1025" s="40"/>
    </row>
    <row r="1026">
      <c r="A1026" s="300"/>
      <c r="B1026" s="300"/>
      <c r="C1026" s="300"/>
      <c r="D1026" s="300"/>
      <c r="E1026" s="300"/>
      <c r="F1026" s="329"/>
      <c r="G1026" s="300"/>
      <c r="H1026" s="300"/>
      <c r="I1026" s="300"/>
      <c r="J1026" s="300"/>
      <c r="K1026" s="300"/>
      <c r="L1026" s="329"/>
      <c r="M1026" s="29" t="str">
        <f t="shared" si="1"/>
        <v/>
      </c>
      <c r="N1026" s="31" t="str">
        <f>IFERROR(__xludf.DUMMYFUNCTION("IF(Account!$F1026&lt;&gt;"""", VALUE(REGEXREPLACE($I1026, ""\,"", ""."")), """")"),"")</f>
        <v/>
      </c>
      <c r="O1026" s="33" t="str">
        <f>IF(Account!$F1026&lt;&gt;"", DATEVALUE(MID($A1026,4,3) &amp; LEFT($A1026,3) &amp; RIGHT($A1026,4)) + TIMEVALUE($B1026), "")</f>
        <v/>
      </c>
      <c r="P1026" s="34" t="str">
        <f>IF(Account!$F1026&lt;&gt;"", DATEVALUE(MID($C1026,4,3) &amp; LEFT($C1026,3) &amp; RIGHT($C1026,4)), "")</f>
        <v/>
      </c>
      <c r="Q1026" s="35" t="str">
        <f t="array" ref="Q1026">IF($R1026&lt;&gt;"",IFERROR(INDEX(Investment!$A:$A,MATCH($R1026,Investment!$H:$H,0))),)</f>
        <v/>
      </c>
      <c r="R1026" s="36" t="str">
        <f t="array" ref="R1026">IF(AND($Y1026="change",$H1026="EUR"),IF(AND($AA1026="Crédit",$O1026=$O1027),$R1027,IF(AND($AA1026="Débit",$O1026=$O1025),$R1025)),IF(OR(AND(OR($E1026&lt;&gt;"",$M1026=""),$N1026&lt;&gt;0),$A1026=""),IFERROR(INDEX(Investment!$H:$H,MATCH($E1026,Investment!$F:$F,0))),IFERROR(INDEX($R1027:$R1119,MATCH(SUBSTITUTE($I1026,"-","",1),$K1027:$K1119,0)),INDEX($R1027:$R1119,MATCH($K1026,$K1027:$K1119,0)))))</f>
        <v/>
      </c>
      <c r="S1026" s="35" t="str">
        <f t="shared" si="2"/>
        <v/>
      </c>
      <c r="T1026" s="37" t="str">
        <f t="shared" si="3"/>
        <v/>
      </c>
      <c r="U1026" s="38" t="str">
        <f t="shared" si="4"/>
        <v/>
      </c>
      <c r="V1026" s="31" t="str">
        <f t="shared" si="5"/>
        <v/>
      </c>
      <c r="W1026" s="39" t="str">
        <f>IFERROR(__xludf.DUMMYFUNCTION(" IF(Account!$F1026&lt;&gt;"""", SPLIT(Account!$F1026, "" ""), """")"),"")</f>
        <v/>
      </c>
      <c r="X1026" s="40"/>
      <c r="Y1026" s="40"/>
      <c r="Z1026" s="40"/>
      <c r="AA1026" s="40"/>
      <c r="AB1026" s="40"/>
      <c r="AC1026" s="40"/>
      <c r="AD1026" s="40"/>
      <c r="AE1026" s="40"/>
      <c r="AF1026" s="40"/>
      <c r="AG1026" s="40"/>
      <c r="AH1026" s="40"/>
      <c r="AI1026" s="40"/>
      <c r="AJ1026" s="40"/>
      <c r="AK1026" s="40"/>
    </row>
    <row r="1027">
      <c r="A1027" s="300"/>
      <c r="B1027" s="300"/>
      <c r="C1027" s="300"/>
      <c r="D1027" s="300"/>
      <c r="E1027" s="300"/>
      <c r="F1027" s="329"/>
      <c r="G1027" s="300"/>
      <c r="H1027" s="300"/>
      <c r="I1027" s="300"/>
      <c r="J1027" s="300"/>
      <c r="K1027" s="300"/>
      <c r="L1027" s="329"/>
      <c r="M1027" s="29" t="str">
        <f t="shared" si="1"/>
        <v/>
      </c>
      <c r="N1027" s="31" t="str">
        <f>IFERROR(__xludf.DUMMYFUNCTION("IF(Account!$F1027&lt;&gt;"""", VALUE(REGEXREPLACE($I1027, ""\,"", ""."")), """")"),"")</f>
        <v/>
      </c>
      <c r="O1027" s="33" t="str">
        <f>IF(Account!$F1027&lt;&gt;"", DATEVALUE(MID($A1027,4,3) &amp; LEFT($A1027,3) &amp; RIGHT($A1027,4)) + TIMEVALUE($B1027), "")</f>
        <v/>
      </c>
      <c r="P1027" s="34" t="str">
        <f>IF(Account!$F1027&lt;&gt;"", DATEVALUE(MID($C1027,4,3) &amp; LEFT($C1027,3) &amp; RIGHT($C1027,4)), "")</f>
        <v/>
      </c>
      <c r="Q1027" s="35" t="str">
        <f t="array" ref="Q1027">IF($R1027&lt;&gt;"",IFERROR(INDEX(Investment!$A:$A,MATCH($R1027,Investment!$H:$H,0))),)</f>
        <v/>
      </c>
      <c r="R1027" s="36" t="str">
        <f t="array" ref="R1027">IF(AND($Y1027="change",$H1027="EUR"),IF(AND($AA1027="Crédit",$O1027=$O1028),$R1028,IF(AND($AA1027="Débit",$O1027=$O1026),$R1026)),IF(OR(AND(OR($E1027&lt;&gt;"",$M1027=""),$N1027&lt;&gt;0),$A1027=""),IFERROR(INDEX(Investment!$H:$H,MATCH($E1027,Investment!$F:$F,0))),IFERROR(INDEX($R1028:$R1119,MATCH(SUBSTITUTE($I1027,"-","",1),$K1028:$K1119,0)),INDEX($R1028:$R1119,MATCH($K1027,$K1028:$K1119,0)))))</f>
        <v/>
      </c>
      <c r="S1027" s="35" t="str">
        <f t="shared" si="2"/>
        <v/>
      </c>
      <c r="T1027" s="37" t="str">
        <f t="shared" si="3"/>
        <v/>
      </c>
      <c r="U1027" s="38" t="str">
        <f t="shared" si="4"/>
        <v/>
      </c>
      <c r="V1027" s="31" t="str">
        <f t="shared" si="5"/>
        <v/>
      </c>
      <c r="W1027" s="39" t="str">
        <f>IFERROR(__xludf.DUMMYFUNCTION(" IF(Account!$F1027&lt;&gt;"""", SPLIT(Account!$F1027, "" ""), """")"),"")</f>
        <v/>
      </c>
      <c r="X1027" s="40"/>
      <c r="Y1027" s="40"/>
      <c r="Z1027" s="40"/>
      <c r="AA1027" s="40"/>
      <c r="AB1027" s="40"/>
      <c r="AC1027" s="40"/>
      <c r="AD1027" s="40"/>
      <c r="AE1027" s="40"/>
      <c r="AF1027" s="40"/>
      <c r="AG1027" s="40"/>
      <c r="AH1027" s="40"/>
      <c r="AI1027" s="40"/>
      <c r="AJ1027" s="40"/>
      <c r="AK1027" s="40"/>
    </row>
    <row r="1028">
      <c r="A1028" s="300"/>
      <c r="B1028" s="300"/>
      <c r="C1028" s="300"/>
      <c r="D1028" s="300"/>
      <c r="E1028" s="300"/>
      <c r="F1028" s="329"/>
      <c r="G1028" s="300"/>
      <c r="H1028" s="300"/>
      <c r="I1028" s="300"/>
      <c r="J1028" s="300"/>
      <c r="K1028" s="300"/>
      <c r="L1028" s="329"/>
      <c r="M1028" s="29" t="str">
        <f t="shared" si="1"/>
        <v/>
      </c>
      <c r="N1028" s="31" t="str">
        <f>IFERROR(__xludf.DUMMYFUNCTION("IF(Account!$F1028&lt;&gt;"""", VALUE(REGEXREPLACE($I1028, ""\,"", ""."")), """")"),"")</f>
        <v/>
      </c>
      <c r="O1028" s="33" t="str">
        <f>IF(Account!$F1028&lt;&gt;"", DATEVALUE(MID($A1028,4,3) &amp; LEFT($A1028,3) &amp; RIGHT($A1028,4)) + TIMEVALUE($B1028), "")</f>
        <v/>
      </c>
      <c r="P1028" s="34" t="str">
        <f>IF(Account!$F1028&lt;&gt;"", DATEVALUE(MID($C1028,4,3) &amp; LEFT($C1028,3) &amp; RIGHT($C1028,4)), "")</f>
        <v/>
      </c>
      <c r="Q1028" s="35" t="str">
        <f t="array" ref="Q1028">IF($R1028&lt;&gt;"",IFERROR(INDEX(Investment!$A:$A,MATCH($R1028,Investment!$H:$H,0))),)</f>
        <v/>
      </c>
      <c r="R1028" s="36" t="str">
        <f t="array" ref="R1028">IF(AND($Y1028="change",$H1028="EUR"),IF(AND($AA1028="Crédit",$O1028=$O1029),$R1029,IF(AND($AA1028="Débit",$O1028=$O1027),$R1027)),IF(OR(AND(OR($E1028&lt;&gt;"",$M1028=""),$N1028&lt;&gt;0),$A1028=""),IFERROR(INDEX(Investment!$H:$H,MATCH($E1028,Investment!$F:$F,0))),IFERROR(INDEX($R1029:$R1119,MATCH(SUBSTITUTE($I1028,"-","",1),$K1029:$K1119,0)),INDEX($R1029:$R1119,MATCH($K1028,$K1029:$K1119,0)))))</f>
        <v/>
      </c>
      <c r="S1028" s="35" t="str">
        <f t="shared" si="2"/>
        <v/>
      </c>
      <c r="T1028" s="37" t="str">
        <f t="shared" si="3"/>
        <v/>
      </c>
      <c r="U1028" s="38" t="str">
        <f t="shared" si="4"/>
        <v/>
      </c>
      <c r="V1028" s="31" t="str">
        <f t="shared" si="5"/>
        <v/>
      </c>
      <c r="W1028" s="39" t="str">
        <f>IFERROR(__xludf.DUMMYFUNCTION(" IF(Account!$F1028&lt;&gt;"""", SPLIT(Account!$F1028, "" ""), """")"),"")</f>
        <v/>
      </c>
      <c r="X1028" s="40"/>
      <c r="Y1028" s="40"/>
      <c r="Z1028" s="40"/>
      <c r="AA1028" s="40"/>
      <c r="AB1028" s="40"/>
      <c r="AC1028" s="40"/>
      <c r="AD1028" s="40"/>
      <c r="AE1028" s="40"/>
      <c r="AF1028" s="40"/>
      <c r="AG1028" s="40"/>
      <c r="AH1028" s="40"/>
      <c r="AI1028" s="40"/>
      <c r="AJ1028" s="40"/>
      <c r="AK1028" s="40"/>
    </row>
    <row r="1029">
      <c r="A1029" s="300"/>
      <c r="B1029" s="300"/>
      <c r="C1029" s="300"/>
      <c r="D1029" s="300"/>
      <c r="E1029" s="300"/>
      <c r="F1029" s="329"/>
      <c r="G1029" s="300"/>
      <c r="H1029" s="300"/>
      <c r="I1029" s="300"/>
      <c r="J1029" s="300"/>
      <c r="K1029" s="300"/>
      <c r="L1029" s="329"/>
      <c r="M1029" s="29" t="str">
        <f t="shared" si="1"/>
        <v/>
      </c>
      <c r="N1029" s="31" t="str">
        <f>IFERROR(__xludf.DUMMYFUNCTION("IF(Account!$F1029&lt;&gt;"""", VALUE(REGEXREPLACE($I1029, ""\,"", ""."")), """")"),"")</f>
        <v/>
      </c>
      <c r="O1029" s="33" t="str">
        <f>IF(Account!$F1029&lt;&gt;"", DATEVALUE(MID($A1029,4,3) &amp; LEFT($A1029,3) &amp; RIGHT($A1029,4)) + TIMEVALUE($B1029), "")</f>
        <v/>
      </c>
      <c r="P1029" s="34" t="str">
        <f>IF(Account!$F1029&lt;&gt;"", DATEVALUE(MID($C1029,4,3) &amp; LEFT($C1029,3) &amp; RIGHT($C1029,4)), "")</f>
        <v/>
      </c>
      <c r="Q1029" s="35" t="str">
        <f t="array" ref="Q1029">IF($R1029&lt;&gt;"",IFERROR(INDEX(Investment!$A:$A,MATCH($R1029,Investment!$H:$H,0))),)</f>
        <v/>
      </c>
      <c r="R1029" s="36" t="str">
        <f t="array" ref="R1029">IF(AND($Y1029="change",$H1029="EUR"),IF(AND($AA1029="Crédit",$O1029=$O1030),$R1030,IF(AND($AA1029="Débit",$O1029=$O1028),$R1028)),IF(OR(AND(OR($E1029&lt;&gt;"",$M1029=""),$N1029&lt;&gt;0),$A1029=""),IFERROR(INDEX(Investment!$H:$H,MATCH($E1029,Investment!$F:$F,0))),IFERROR(INDEX($R1030:$R1119,MATCH(SUBSTITUTE($I1029,"-","",1),$K1030:$K1119,0)),INDEX($R1030:$R1119,MATCH($K1029,$K1030:$K1119,0)))))</f>
        <v/>
      </c>
      <c r="S1029" s="35" t="str">
        <f t="shared" si="2"/>
        <v/>
      </c>
      <c r="T1029" s="37" t="str">
        <f t="shared" si="3"/>
        <v/>
      </c>
      <c r="U1029" s="38" t="str">
        <f t="shared" si="4"/>
        <v/>
      </c>
      <c r="V1029" s="31" t="str">
        <f t="shared" si="5"/>
        <v/>
      </c>
      <c r="W1029" s="39" t="str">
        <f>IFERROR(__xludf.DUMMYFUNCTION(" IF(Account!$F1029&lt;&gt;"""", SPLIT(Account!$F1029, "" ""), """")"),"")</f>
        <v/>
      </c>
      <c r="X1029" s="40"/>
      <c r="Y1029" s="40"/>
      <c r="Z1029" s="40"/>
      <c r="AA1029" s="40"/>
      <c r="AB1029" s="40"/>
      <c r="AC1029" s="40"/>
      <c r="AD1029" s="40"/>
      <c r="AE1029" s="40"/>
      <c r="AF1029" s="40"/>
      <c r="AG1029" s="40"/>
      <c r="AH1029" s="40"/>
      <c r="AI1029" s="40"/>
      <c r="AJ1029" s="40"/>
      <c r="AK1029" s="40"/>
    </row>
    <row r="1030">
      <c r="A1030" s="300"/>
      <c r="B1030" s="300"/>
      <c r="C1030" s="300"/>
      <c r="D1030" s="300"/>
      <c r="E1030" s="300"/>
      <c r="F1030" s="329"/>
      <c r="G1030" s="300"/>
      <c r="H1030" s="300"/>
      <c r="I1030" s="300"/>
      <c r="J1030" s="300"/>
      <c r="K1030" s="300"/>
      <c r="L1030" s="329"/>
      <c r="M1030" s="29" t="str">
        <f t="shared" si="1"/>
        <v/>
      </c>
      <c r="N1030" s="31" t="str">
        <f>IFERROR(__xludf.DUMMYFUNCTION("IF(Account!$F1030&lt;&gt;"""", VALUE(REGEXREPLACE($I1030, ""\,"", ""."")), """")"),"")</f>
        <v/>
      </c>
      <c r="O1030" s="33" t="str">
        <f>IF(Account!$F1030&lt;&gt;"", DATEVALUE(MID($A1030,4,3) &amp; LEFT($A1030,3) &amp; RIGHT($A1030,4)) + TIMEVALUE($B1030), "")</f>
        <v/>
      </c>
      <c r="P1030" s="34" t="str">
        <f>IF(Account!$F1030&lt;&gt;"", DATEVALUE(MID($C1030,4,3) &amp; LEFT($C1030,3) &amp; RIGHT($C1030,4)), "")</f>
        <v/>
      </c>
      <c r="Q1030" s="35" t="str">
        <f t="array" ref="Q1030">IF($R1030&lt;&gt;"",IFERROR(INDEX(Investment!$A:$A,MATCH($R1030,Investment!$H:$H,0))),)</f>
        <v/>
      </c>
      <c r="R1030" s="36" t="str">
        <f t="array" ref="R1030">IF(AND($Y1030="change",$H1030="EUR"),IF(AND($AA1030="Crédit",$O1030=$O1031),$R1031,IF(AND($AA1030="Débit",$O1030=$O1029),$R1029)),IF(OR(AND(OR($E1030&lt;&gt;"",$M1030=""),$N1030&lt;&gt;0),$A1030=""),IFERROR(INDEX(Investment!$H:$H,MATCH($E1030,Investment!$F:$F,0))),IFERROR(INDEX($R1031:$R1119,MATCH(SUBSTITUTE($I1030,"-","",1),$K1031:$K1119,0)),INDEX($R1031:$R1119,MATCH($K1030,$K1031:$K1119,0)))))</f>
        <v/>
      </c>
      <c r="S1030" s="35" t="str">
        <f t="shared" si="2"/>
        <v/>
      </c>
      <c r="T1030" s="37" t="str">
        <f t="shared" si="3"/>
        <v/>
      </c>
      <c r="U1030" s="38" t="str">
        <f t="shared" si="4"/>
        <v/>
      </c>
      <c r="V1030" s="31" t="str">
        <f t="shared" si="5"/>
        <v/>
      </c>
      <c r="W1030" s="39" t="str">
        <f>IFERROR(__xludf.DUMMYFUNCTION(" IF(Account!$F1030&lt;&gt;"""", SPLIT(Account!$F1030, "" ""), """")"),"")</f>
        <v/>
      </c>
      <c r="X1030" s="40"/>
      <c r="Y1030" s="40"/>
      <c r="Z1030" s="40"/>
      <c r="AA1030" s="40"/>
      <c r="AB1030" s="40"/>
      <c r="AC1030" s="40"/>
      <c r="AD1030" s="40"/>
      <c r="AE1030" s="40"/>
      <c r="AF1030" s="40"/>
      <c r="AG1030" s="40"/>
      <c r="AH1030" s="40"/>
      <c r="AI1030" s="40"/>
      <c r="AJ1030" s="40"/>
      <c r="AK1030" s="40"/>
    </row>
    <row r="1031">
      <c r="A1031" s="300"/>
      <c r="B1031" s="300"/>
      <c r="C1031" s="300"/>
      <c r="D1031" s="300"/>
      <c r="E1031" s="300"/>
      <c r="F1031" s="329"/>
      <c r="G1031" s="300"/>
      <c r="H1031" s="300"/>
      <c r="I1031" s="300"/>
      <c r="J1031" s="300"/>
      <c r="K1031" s="300"/>
      <c r="L1031" s="329"/>
      <c r="M1031" s="29" t="str">
        <f t="shared" si="1"/>
        <v/>
      </c>
      <c r="N1031" s="31" t="str">
        <f>IFERROR(__xludf.DUMMYFUNCTION("IF(Account!$F1031&lt;&gt;"""", VALUE(REGEXREPLACE($I1031, ""\,"", ""."")), """")"),"")</f>
        <v/>
      </c>
      <c r="O1031" s="33" t="str">
        <f>IF(Account!$F1031&lt;&gt;"", DATEVALUE(MID($A1031,4,3) &amp; LEFT($A1031,3) &amp; RIGHT($A1031,4)) + TIMEVALUE($B1031), "")</f>
        <v/>
      </c>
      <c r="P1031" s="34" t="str">
        <f>IF(Account!$F1031&lt;&gt;"", DATEVALUE(MID($C1031,4,3) &amp; LEFT($C1031,3) &amp; RIGHT($C1031,4)), "")</f>
        <v/>
      </c>
      <c r="Q1031" s="35" t="str">
        <f t="array" ref="Q1031">IF($R1031&lt;&gt;"",IFERROR(INDEX(Investment!$A:$A,MATCH($R1031,Investment!$H:$H,0))),)</f>
        <v/>
      </c>
      <c r="R1031" s="36" t="str">
        <f t="array" ref="R1031">IF(AND($Y1031="change",$H1031="EUR"),IF(AND($AA1031="Crédit",$O1031=$O1032),$R1032,IF(AND($AA1031="Débit",$O1031=$O1030),$R1030)),IF(OR(AND(OR($E1031&lt;&gt;"",$M1031=""),$N1031&lt;&gt;0),$A1031=""),IFERROR(INDEX(Investment!$H:$H,MATCH($E1031,Investment!$F:$F,0))),IFERROR(INDEX($R1032:$R1119,MATCH(SUBSTITUTE($I1031,"-","",1),$K1032:$K1119,0)),INDEX($R1032:$R1119,MATCH($K1031,$K1032:$K1119,0)))))</f>
        <v/>
      </c>
      <c r="S1031" s="35" t="str">
        <f t="shared" si="2"/>
        <v/>
      </c>
      <c r="T1031" s="37" t="str">
        <f t="shared" si="3"/>
        <v/>
      </c>
      <c r="U1031" s="38" t="str">
        <f t="shared" si="4"/>
        <v/>
      </c>
      <c r="V1031" s="31" t="str">
        <f t="shared" si="5"/>
        <v/>
      </c>
      <c r="W1031" s="39" t="str">
        <f>IFERROR(__xludf.DUMMYFUNCTION(" IF(Account!$F1031&lt;&gt;"""", SPLIT(Account!$F1031, "" ""), """")"),"")</f>
        <v/>
      </c>
      <c r="X1031" s="40"/>
      <c r="Y1031" s="40"/>
      <c r="Z1031" s="40"/>
      <c r="AA1031" s="40"/>
      <c r="AB1031" s="40"/>
      <c r="AC1031" s="40"/>
      <c r="AD1031" s="40"/>
      <c r="AE1031" s="40"/>
      <c r="AF1031" s="40"/>
      <c r="AG1031" s="40"/>
      <c r="AH1031" s="40"/>
      <c r="AI1031" s="40"/>
      <c r="AJ1031" s="40"/>
      <c r="AK1031" s="40"/>
    </row>
    <row r="1032">
      <c r="A1032" s="300"/>
      <c r="B1032" s="300"/>
      <c r="C1032" s="300"/>
      <c r="D1032" s="300"/>
      <c r="E1032" s="300"/>
      <c r="F1032" s="329"/>
      <c r="G1032" s="300"/>
      <c r="H1032" s="300"/>
      <c r="I1032" s="300"/>
      <c r="J1032" s="300"/>
      <c r="K1032" s="300"/>
      <c r="L1032" s="329"/>
      <c r="M1032" s="29" t="str">
        <f t="shared" si="1"/>
        <v/>
      </c>
      <c r="N1032" s="31" t="str">
        <f>IFERROR(__xludf.DUMMYFUNCTION("IF(Account!$F1032&lt;&gt;"""", VALUE(REGEXREPLACE($I1032, ""\,"", ""."")), """")"),"")</f>
        <v/>
      </c>
      <c r="O1032" s="33" t="str">
        <f>IF(Account!$F1032&lt;&gt;"", DATEVALUE(MID($A1032,4,3) &amp; LEFT($A1032,3) &amp; RIGHT($A1032,4)) + TIMEVALUE($B1032), "")</f>
        <v/>
      </c>
      <c r="P1032" s="34" t="str">
        <f>IF(Account!$F1032&lt;&gt;"", DATEVALUE(MID($C1032,4,3) &amp; LEFT($C1032,3) &amp; RIGHT($C1032,4)), "")</f>
        <v/>
      </c>
      <c r="Q1032" s="35" t="str">
        <f t="array" ref="Q1032">IF($R1032&lt;&gt;"",IFERROR(INDEX(Investment!$A:$A,MATCH($R1032,Investment!$H:$H,0))),)</f>
        <v/>
      </c>
      <c r="R1032" s="36" t="str">
        <f t="array" ref="R1032">IF(AND($Y1032="change",$H1032="EUR"),IF(AND($AA1032="Crédit",$O1032=$O1033),$R1033,IF(AND($AA1032="Débit",$O1032=$O1031),$R1031)),IF(OR(AND(OR($E1032&lt;&gt;"",$M1032=""),$N1032&lt;&gt;0),$A1032=""),IFERROR(INDEX(Investment!$H:$H,MATCH($E1032,Investment!$F:$F,0))),IFERROR(INDEX($R1033:$R1119,MATCH(SUBSTITUTE($I1032,"-","",1),$K1033:$K1119,0)),INDEX($R1033:$R1119,MATCH($K1032,$K1033:$K1119,0)))))</f>
        <v/>
      </c>
      <c r="S1032" s="35" t="str">
        <f t="shared" si="2"/>
        <v/>
      </c>
      <c r="T1032" s="37" t="str">
        <f t="shared" si="3"/>
        <v/>
      </c>
      <c r="U1032" s="38" t="str">
        <f t="shared" si="4"/>
        <v/>
      </c>
      <c r="V1032" s="31" t="str">
        <f t="shared" si="5"/>
        <v/>
      </c>
      <c r="W1032" s="39" t="str">
        <f>IFERROR(__xludf.DUMMYFUNCTION(" IF(Account!$F1032&lt;&gt;"""", SPLIT(Account!$F1032, "" ""), """")"),"")</f>
        <v/>
      </c>
      <c r="X1032" s="40"/>
      <c r="Y1032" s="40"/>
      <c r="Z1032" s="40"/>
      <c r="AA1032" s="40"/>
      <c r="AB1032" s="40"/>
      <c r="AC1032" s="40"/>
      <c r="AD1032" s="40"/>
      <c r="AE1032" s="40"/>
      <c r="AF1032" s="40"/>
      <c r="AG1032" s="40"/>
      <c r="AH1032" s="40"/>
      <c r="AI1032" s="40"/>
      <c r="AJ1032" s="40"/>
      <c r="AK1032" s="40"/>
    </row>
    <row r="1033">
      <c r="A1033" s="300"/>
      <c r="B1033" s="300"/>
      <c r="C1033" s="300"/>
      <c r="D1033" s="300"/>
      <c r="E1033" s="300"/>
      <c r="F1033" s="329"/>
      <c r="G1033" s="300"/>
      <c r="H1033" s="300"/>
      <c r="I1033" s="300"/>
      <c r="J1033" s="300"/>
      <c r="K1033" s="300"/>
      <c r="L1033" s="329"/>
      <c r="M1033" s="29" t="str">
        <f t="shared" si="1"/>
        <v/>
      </c>
      <c r="N1033" s="31" t="str">
        <f>IFERROR(__xludf.DUMMYFUNCTION("IF(Account!$F1033&lt;&gt;"""", VALUE(REGEXREPLACE($I1033, ""\,"", ""."")), """")"),"")</f>
        <v/>
      </c>
      <c r="O1033" s="33" t="str">
        <f>IF(Account!$F1033&lt;&gt;"", DATEVALUE(MID($A1033,4,3) &amp; LEFT($A1033,3) &amp; RIGHT($A1033,4)) + TIMEVALUE($B1033), "")</f>
        <v/>
      </c>
      <c r="P1033" s="34" t="str">
        <f>IF(Account!$F1033&lt;&gt;"", DATEVALUE(MID($C1033,4,3) &amp; LEFT($C1033,3) &amp; RIGHT($C1033,4)), "")</f>
        <v/>
      </c>
      <c r="Q1033" s="35" t="str">
        <f t="array" ref="Q1033">IF($R1033&lt;&gt;"",IFERROR(INDEX(Investment!$A:$A,MATCH($R1033,Investment!$H:$H,0))),)</f>
        <v/>
      </c>
      <c r="R1033" s="36" t="str">
        <f t="array" ref="R1033">IF(AND($Y1033="change",$H1033="EUR"),IF(AND($AA1033="Crédit",$O1033=$O1034),$R1034,IF(AND($AA1033="Débit",$O1033=$O1032),$R1032)),IF(OR(AND(OR($E1033&lt;&gt;"",$M1033=""),$N1033&lt;&gt;0),$A1033=""),IFERROR(INDEX(Investment!$H:$H,MATCH($E1033,Investment!$F:$F,0))),IFERROR(INDEX($R1034:$R1119,MATCH(SUBSTITUTE($I1033,"-","",1),$K1034:$K1119,0)),INDEX($R1034:$R1119,MATCH($K1033,$K1034:$K1119,0)))))</f>
        <v/>
      </c>
      <c r="S1033" s="35" t="str">
        <f t="shared" si="2"/>
        <v/>
      </c>
      <c r="T1033" s="37" t="str">
        <f t="shared" si="3"/>
        <v/>
      </c>
      <c r="U1033" s="38" t="str">
        <f t="shared" si="4"/>
        <v/>
      </c>
      <c r="V1033" s="31" t="str">
        <f t="shared" si="5"/>
        <v/>
      </c>
      <c r="W1033" s="39" t="str">
        <f>IFERROR(__xludf.DUMMYFUNCTION(" IF(Account!$F1033&lt;&gt;"""", SPLIT(Account!$F1033, "" ""), """")"),"")</f>
        <v/>
      </c>
      <c r="X1033" s="40"/>
      <c r="Y1033" s="40"/>
      <c r="Z1033" s="40"/>
      <c r="AA1033" s="40"/>
      <c r="AB1033" s="40"/>
      <c r="AC1033" s="40"/>
      <c r="AD1033" s="40"/>
      <c r="AE1033" s="40"/>
      <c r="AF1033" s="40"/>
      <c r="AG1033" s="40"/>
      <c r="AH1033" s="40"/>
      <c r="AI1033" s="40"/>
      <c r="AJ1033" s="40"/>
      <c r="AK1033" s="40"/>
    </row>
    <row r="1034">
      <c r="A1034" s="300"/>
      <c r="B1034" s="300"/>
      <c r="C1034" s="300"/>
      <c r="D1034" s="300"/>
      <c r="E1034" s="300"/>
      <c r="F1034" s="329"/>
      <c r="G1034" s="300"/>
      <c r="H1034" s="300"/>
      <c r="I1034" s="300"/>
      <c r="J1034" s="300"/>
      <c r="K1034" s="300"/>
      <c r="L1034" s="329"/>
      <c r="M1034" s="29" t="str">
        <f t="shared" si="1"/>
        <v/>
      </c>
      <c r="N1034" s="31" t="str">
        <f>IFERROR(__xludf.DUMMYFUNCTION("IF(Account!$F1034&lt;&gt;"""", VALUE(REGEXREPLACE($I1034, ""\,"", ""."")), """")"),"")</f>
        <v/>
      </c>
      <c r="O1034" s="33" t="str">
        <f>IF(Account!$F1034&lt;&gt;"", DATEVALUE(MID($A1034,4,3) &amp; LEFT($A1034,3) &amp; RIGHT($A1034,4)) + TIMEVALUE($B1034), "")</f>
        <v/>
      </c>
      <c r="P1034" s="34" t="str">
        <f>IF(Account!$F1034&lt;&gt;"", DATEVALUE(MID($C1034,4,3) &amp; LEFT($C1034,3) &amp; RIGHT($C1034,4)), "")</f>
        <v/>
      </c>
      <c r="Q1034" s="35" t="str">
        <f t="array" ref="Q1034">IF($R1034&lt;&gt;"",IFERROR(INDEX(Investment!$A:$A,MATCH($R1034,Investment!$H:$H,0))),)</f>
        <v/>
      </c>
      <c r="R1034" s="36" t="str">
        <f t="array" ref="R1034">IF(AND($Y1034="change",$H1034="EUR"),IF(AND($AA1034="Crédit",$O1034=$O1035),$R1035,IF(AND($AA1034="Débit",$O1034=$O1033),$R1033)),IF(OR(AND(OR($E1034&lt;&gt;"",$M1034=""),$N1034&lt;&gt;0),$A1034=""),IFERROR(INDEX(Investment!$H:$H,MATCH($E1034,Investment!$F:$F,0))),IFERROR(INDEX($R1035:$R1119,MATCH(SUBSTITUTE($I1034,"-","",1),$K1035:$K1119,0)),INDEX($R1035:$R1119,MATCH($K1034,$K1035:$K1119,0)))))</f>
        <v/>
      </c>
      <c r="S1034" s="35" t="str">
        <f t="shared" si="2"/>
        <v/>
      </c>
      <c r="T1034" s="37" t="str">
        <f t="shared" si="3"/>
        <v/>
      </c>
      <c r="U1034" s="38" t="str">
        <f t="shared" si="4"/>
        <v/>
      </c>
      <c r="V1034" s="31" t="str">
        <f t="shared" si="5"/>
        <v/>
      </c>
      <c r="W1034" s="39" t="str">
        <f>IFERROR(__xludf.DUMMYFUNCTION(" IF(Account!$F1034&lt;&gt;"""", SPLIT(Account!$F1034, "" ""), """")"),"")</f>
        <v/>
      </c>
      <c r="X1034" s="40"/>
      <c r="Y1034" s="40"/>
      <c r="Z1034" s="40"/>
      <c r="AA1034" s="40"/>
      <c r="AB1034" s="40"/>
      <c r="AC1034" s="40"/>
      <c r="AD1034" s="40"/>
      <c r="AE1034" s="40"/>
      <c r="AF1034" s="40"/>
      <c r="AG1034" s="40"/>
      <c r="AH1034" s="40"/>
      <c r="AI1034" s="40"/>
      <c r="AJ1034" s="40"/>
      <c r="AK1034" s="40"/>
    </row>
    <row r="1035">
      <c r="A1035" s="300"/>
      <c r="B1035" s="300"/>
      <c r="C1035" s="300"/>
      <c r="D1035" s="300"/>
      <c r="E1035" s="300"/>
      <c r="F1035" s="329"/>
      <c r="G1035" s="300"/>
      <c r="H1035" s="300"/>
      <c r="I1035" s="300"/>
      <c r="J1035" s="300"/>
      <c r="K1035" s="300"/>
      <c r="L1035" s="329"/>
      <c r="M1035" s="29" t="str">
        <f t="shared" si="1"/>
        <v/>
      </c>
      <c r="N1035" s="31" t="str">
        <f>IFERROR(__xludf.DUMMYFUNCTION("IF(Account!$F1035&lt;&gt;"""", VALUE(REGEXREPLACE($I1035, ""\,"", ""."")), """")"),"")</f>
        <v/>
      </c>
      <c r="O1035" s="33" t="str">
        <f>IF(Account!$F1035&lt;&gt;"", DATEVALUE(MID($A1035,4,3) &amp; LEFT($A1035,3) &amp; RIGHT($A1035,4)) + TIMEVALUE($B1035), "")</f>
        <v/>
      </c>
      <c r="P1035" s="34" t="str">
        <f>IF(Account!$F1035&lt;&gt;"", DATEVALUE(MID($C1035,4,3) &amp; LEFT($C1035,3) &amp; RIGHT($C1035,4)), "")</f>
        <v/>
      </c>
      <c r="Q1035" s="35" t="str">
        <f t="array" ref="Q1035">IF($R1035&lt;&gt;"",IFERROR(INDEX(Investment!$A:$A,MATCH($R1035,Investment!$H:$H,0))),)</f>
        <v/>
      </c>
      <c r="R1035" s="36" t="str">
        <f t="array" ref="R1035">IF(AND($Y1035="change",$H1035="EUR"),IF(AND($AA1035="Crédit",$O1035=$O1036),$R1036,IF(AND($AA1035="Débit",$O1035=$O1034),$R1034)),IF(OR(AND(OR($E1035&lt;&gt;"",$M1035=""),$N1035&lt;&gt;0),$A1035=""),IFERROR(INDEX(Investment!$H:$H,MATCH($E1035,Investment!$F:$F,0))),IFERROR(INDEX($R1036:$R1119,MATCH(SUBSTITUTE($I1035,"-","",1),$K1036:$K1119,0)),INDEX($R1036:$R1119,MATCH($K1035,$K1036:$K1119,0)))))</f>
        <v/>
      </c>
      <c r="S1035" s="35" t="str">
        <f t="shared" si="2"/>
        <v/>
      </c>
      <c r="T1035" s="37" t="str">
        <f t="shared" si="3"/>
        <v/>
      </c>
      <c r="U1035" s="38" t="str">
        <f t="shared" si="4"/>
        <v/>
      </c>
      <c r="V1035" s="31" t="str">
        <f t="shared" si="5"/>
        <v/>
      </c>
      <c r="W1035" s="39" t="str">
        <f>IFERROR(__xludf.DUMMYFUNCTION(" IF(Account!$F1035&lt;&gt;"""", SPLIT(Account!$F1035, "" ""), """")"),"")</f>
        <v/>
      </c>
      <c r="X1035" s="40"/>
      <c r="Y1035" s="40"/>
      <c r="Z1035" s="40"/>
      <c r="AA1035" s="40"/>
      <c r="AB1035" s="40"/>
      <c r="AC1035" s="40"/>
      <c r="AD1035" s="40"/>
      <c r="AE1035" s="40"/>
      <c r="AF1035" s="40"/>
      <c r="AG1035" s="40"/>
      <c r="AH1035" s="40"/>
      <c r="AI1035" s="40"/>
      <c r="AJ1035" s="40"/>
      <c r="AK1035" s="40"/>
    </row>
    <row r="1036">
      <c r="A1036" s="300"/>
      <c r="B1036" s="300"/>
      <c r="C1036" s="300"/>
      <c r="D1036" s="300"/>
      <c r="E1036" s="300"/>
      <c r="F1036" s="329"/>
      <c r="G1036" s="300"/>
      <c r="H1036" s="300"/>
      <c r="I1036" s="300"/>
      <c r="J1036" s="300"/>
      <c r="K1036" s="300"/>
      <c r="L1036" s="329"/>
      <c r="M1036" s="29" t="str">
        <f t="shared" si="1"/>
        <v/>
      </c>
      <c r="N1036" s="31" t="str">
        <f>IFERROR(__xludf.DUMMYFUNCTION("IF(Account!$F1036&lt;&gt;"""", VALUE(REGEXREPLACE($I1036, ""\,"", ""."")), """")"),"")</f>
        <v/>
      </c>
      <c r="O1036" s="33" t="str">
        <f>IF(Account!$F1036&lt;&gt;"", DATEVALUE(MID($A1036,4,3) &amp; LEFT($A1036,3) &amp; RIGHT($A1036,4)) + TIMEVALUE($B1036), "")</f>
        <v/>
      </c>
      <c r="P1036" s="34" t="str">
        <f>IF(Account!$F1036&lt;&gt;"", DATEVALUE(MID($C1036,4,3) &amp; LEFT($C1036,3) &amp; RIGHT($C1036,4)), "")</f>
        <v/>
      </c>
      <c r="Q1036" s="35" t="str">
        <f t="array" ref="Q1036">IF($R1036&lt;&gt;"",IFERROR(INDEX(Investment!$A:$A,MATCH($R1036,Investment!$H:$H,0))),)</f>
        <v/>
      </c>
      <c r="R1036" s="36" t="str">
        <f t="array" ref="R1036">IF(AND($Y1036="change",$H1036="EUR"),IF(AND($AA1036="Crédit",$O1036=$O1037),$R1037,IF(AND($AA1036="Débit",$O1036=$O1035),$R1035)),IF(OR(AND(OR($E1036&lt;&gt;"",$M1036=""),$N1036&lt;&gt;0),$A1036=""),IFERROR(INDEX(Investment!$H:$H,MATCH($E1036,Investment!$F:$F,0))),IFERROR(INDEX($R1037:$R1119,MATCH(SUBSTITUTE($I1036,"-","",1),$K1037:$K1119,0)),INDEX($R1037:$R1119,MATCH($K1036,$K1037:$K1119,0)))))</f>
        <v/>
      </c>
      <c r="S1036" s="35" t="str">
        <f t="shared" si="2"/>
        <v/>
      </c>
      <c r="T1036" s="37" t="str">
        <f t="shared" si="3"/>
        <v/>
      </c>
      <c r="U1036" s="38" t="str">
        <f t="shared" si="4"/>
        <v/>
      </c>
      <c r="V1036" s="31" t="str">
        <f t="shared" si="5"/>
        <v/>
      </c>
      <c r="W1036" s="39" t="str">
        <f>IFERROR(__xludf.DUMMYFUNCTION(" IF(Account!$F1036&lt;&gt;"""", SPLIT(Account!$F1036, "" ""), """")"),"")</f>
        <v/>
      </c>
      <c r="X1036" s="40"/>
      <c r="Y1036" s="40"/>
      <c r="Z1036" s="40"/>
      <c r="AA1036" s="40"/>
      <c r="AB1036" s="40"/>
      <c r="AC1036" s="40"/>
      <c r="AD1036" s="40"/>
      <c r="AE1036" s="40"/>
      <c r="AF1036" s="40"/>
      <c r="AG1036" s="40"/>
      <c r="AH1036" s="40"/>
      <c r="AI1036" s="40"/>
      <c r="AJ1036" s="40"/>
      <c r="AK1036" s="40"/>
    </row>
    <row r="1037">
      <c r="A1037" s="300"/>
      <c r="B1037" s="300"/>
      <c r="C1037" s="300"/>
      <c r="D1037" s="300"/>
      <c r="E1037" s="300"/>
      <c r="F1037" s="329"/>
      <c r="G1037" s="300"/>
      <c r="H1037" s="300"/>
      <c r="I1037" s="300"/>
      <c r="J1037" s="300"/>
      <c r="K1037" s="300"/>
      <c r="L1037" s="329"/>
      <c r="M1037" s="29" t="str">
        <f t="shared" si="1"/>
        <v/>
      </c>
      <c r="N1037" s="31" t="str">
        <f>IFERROR(__xludf.DUMMYFUNCTION("IF(Account!$F1037&lt;&gt;"""", VALUE(REGEXREPLACE($I1037, ""\,"", ""."")), """")"),"")</f>
        <v/>
      </c>
      <c r="O1037" s="33" t="str">
        <f>IF(Account!$F1037&lt;&gt;"", DATEVALUE(MID($A1037,4,3) &amp; LEFT($A1037,3) &amp; RIGHT($A1037,4)) + TIMEVALUE($B1037), "")</f>
        <v/>
      </c>
      <c r="P1037" s="34" t="str">
        <f>IF(Account!$F1037&lt;&gt;"", DATEVALUE(MID($C1037,4,3) &amp; LEFT($C1037,3) &amp; RIGHT($C1037,4)), "")</f>
        <v/>
      </c>
      <c r="Q1037" s="35" t="str">
        <f t="array" ref="Q1037">IF($R1037&lt;&gt;"",IFERROR(INDEX(Investment!$A:$A,MATCH($R1037,Investment!$H:$H,0))),)</f>
        <v/>
      </c>
      <c r="R1037" s="36" t="str">
        <f t="array" ref="R1037">IF(AND($Y1037="change",$H1037="EUR"),IF(AND($AA1037="Crédit",$O1037=$O1038),$R1038,IF(AND($AA1037="Débit",$O1037=$O1036),$R1036)),IF(OR(AND(OR($E1037&lt;&gt;"",$M1037=""),$N1037&lt;&gt;0),$A1037=""),IFERROR(INDEX(Investment!$H:$H,MATCH($E1037,Investment!$F:$F,0))),IFERROR(INDEX($R1038:$R1119,MATCH(SUBSTITUTE($I1037,"-","",1),$K1038:$K1119,0)),INDEX($R1038:$R1119,MATCH($K1037,$K1038:$K1119,0)))))</f>
        <v/>
      </c>
      <c r="S1037" s="35" t="str">
        <f t="shared" si="2"/>
        <v/>
      </c>
      <c r="T1037" s="37" t="str">
        <f t="shared" si="3"/>
        <v/>
      </c>
      <c r="U1037" s="38" t="str">
        <f t="shared" si="4"/>
        <v/>
      </c>
      <c r="V1037" s="31" t="str">
        <f t="shared" si="5"/>
        <v/>
      </c>
      <c r="W1037" s="39" t="str">
        <f>IFERROR(__xludf.DUMMYFUNCTION(" IF(Account!$F1037&lt;&gt;"""", SPLIT(Account!$F1037, "" ""), """")"),"")</f>
        <v/>
      </c>
      <c r="X1037" s="40"/>
      <c r="Y1037" s="40"/>
      <c r="Z1037" s="40"/>
      <c r="AA1037" s="40"/>
      <c r="AB1037" s="40"/>
      <c r="AC1037" s="40"/>
      <c r="AD1037" s="40"/>
      <c r="AE1037" s="40"/>
      <c r="AF1037" s="40"/>
      <c r="AG1037" s="40"/>
      <c r="AH1037" s="40"/>
      <c r="AI1037" s="40"/>
      <c r="AJ1037" s="40"/>
      <c r="AK1037" s="40"/>
    </row>
    <row r="1038">
      <c r="A1038" s="300"/>
      <c r="B1038" s="300"/>
      <c r="C1038" s="300"/>
      <c r="D1038" s="300"/>
      <c r="E1038" s="300"/>
      <c r="F1038" s="329"/>
      <c r="G1038" s="300"/>
      <c r="H1038" s="300"/>
      <c r="I1038" s="300"/>
      <c r="J1038" s="300"/>
      <c r="K1038" s="300"/>
      <c r="L1038" s="329"/>
      <c r="M1038" s="29" t="str">
        <f t="shared" si="1"/>
        <v/>
      </c>
      <c r="N1038" s="31" t="str">
        <f>IFERROR(__xludf.DUMMYFUNCTION("IF(Account!$F1038&lt;&gt;"""", VALUE(REGEXREPLACE($I1038, ""\,"", ""."")), """")"),"")</f>
        <v/>
      </c>
      <c r="O1038" s="33" t="str">
        <f>IF(Account!$F1038&lt;&gt;"", DATEVALUE(MID($A1038,4,3) &amp; LEFT($A1038,3) &amp; RIGHT($A1038,4)) + TIMEVALUE($B1038), "")</f>
        <v/>
      </c>
      <c r="P1038" s="34" t="str">
        <f>IF(Account!$F1038&lt;&gt;"", DATEVALUE(MID($C1038,4,3) &amp; LEFT($C1038,3) &amp; RIGHT($C1038,4)), "")</f>
        <v/>
      </c>
      <c r="Q1038" s="35" t="str">
        <f t="array" ref="Q1038">IF($R1038&lt;&gt;"",IFERROR(INDEX(Investment!$A:$A,MATCH($R1038,Investment!$H:$H,0))),)</f>
        <v/>
      </c>
      <c r="R1038" s="36" t="str">
        <f t="array" ref="R1038">IF(AND($Y1038="change",$H1038="EUR"),IF(AND($AA1038="Crédit",$O1038=$O1039),$R1039,IF(AND($AA1038="Débit",$O1038=$O1037),$R1037)),IF(OR(AND(OR($E1038&lt;&gt;"",$M1038=""),$N1038&lt;&gt;0),$A1038=""),IFERROR(INDEX(Investment!$H:$H,MATCH($E1038,Investment!$F:$F,0))),IFERROR(INDEX($R1039:$R1119,MATCH(SUBSTITUTE($I1038,"-","",1),$K1039:$K1119,0)),INDEX($R1039:$R1119,MATCH($K1038,$K1039:$K1119,0)))))</f>
        <v/>
      </c>
      <c r="S1038" s="35" t="str">
        <f t="shared" si="2"/>
        <v/>
      </c>
      <c r="T1038" s="37" t="str">
        <f t="shared" si="3"/>
        <v/>
      </c>
      <c r="U1038" s="38" t="str">
        <f t="shared" si="4"/>
        <v/>
      </c>
      <c r="V1038" s="31" t="str">
        <f t="shared" si="5"/>
        <v/>
      </c>
      <c r="W1038" s="39" t="str">
        <f>IFERROR(__xludf.DUMMYFUNCTION(" IF(Account!$F1038&lt;&gt;"""", SPLIT(Account!$F1038, "" ""), """")"),"")</f>
        <v/>
      </c>
      <c r="X1038" s="40"/>
      <c r="Y1038" s="40"/>
      <c r="Z1038" s="40"/>
      <c r="AA1038" s="40"/>
      <c r="AB1038" s="40"/>
      <c r="AC1038" s="40"/>
      <c r="AD1038" s="40"/>
      <c r="AE1038" s="40"/>
      <c r="AF1038" s="40"/>
      <c r="AG1038" s="40"/>
      <c r="AH1038" s="40"/>
      <c r="AI1038" s="40"/>
      <c r="AJ1038" s="40"/>
      <c r="AK1038" s="40"/>
    </row>
    <row r="1039">
      <c r="A1039" s="300"/>
      <c r="B1039" s="300"/>
      <c r="C1039" s="300"/>
      <c r="D1039" s="300"/>
      <c r="E1039" s="300"/>
      <c r="F1039" s="329"/>
      <c r="G1039" s="300"/>
      <c r="H1039" s="300"/>
      <c r="I1039" s="300"/>
      <c r="J1039" s="300"/>
      <c r="K1039" s="300"/>
      <c r="L1039" s="329"/>
      <c r="M1039" s="29" t="str">
        <f t="shared" si="1"/>
        <v/>
      </c>
      <c r="N1039" s="31" t="str">
        <f>IFERROR(__xludf.DUMMYFUNCTION("IF(Account!$F1039&lt;&gt;"""", VALUE(REGEXREPLACE($I1039, ""\,"", ""."")), """")"),"")</f>
        <v/>
      </c>
      <c r="O1039" s="33" t="str">
        <f>IF(Account!$F1039&lt;&gt;"", DATEVALUE(MID($A1039,4,3) &amp; LEFT($A1039,3) &amp; RIGHT($A1039,4)) + TIMEVALUE($B1039), "")</f>
        <v/>
      </c>
      <c r="P1039" s="34" t="str">
        <f>IF(Account!$F1039&lt;&gt;"", DATEVALUE(MID($C1039,4,3) &amp; LEFT($C1039,3) &amp; RIGHT($C1039,4)), "")</f>
        <v/>
      </c>
      <c r="Q1039" s="35" t="str">
        <f t="array" ref="Q1039">IF($R1039&lt;&gt;"",IFERROR(INDEX(Investment!$A:$A,MATCH($R1039,Investment!$H:$H,0))),)</f>
        <v/>
      </c>
      <c r="R1039" s="36" t="str">
        <f t="array" ref="R1039">IF(AND($Y1039="change",$H1039="EUR"),IF(AND($AA1039="Crédit",$O1039=$O1040),$R1040,IF(AND($AA1039="Débit",$O1039=$O1038),$R1038)),IF(OR(AND(OR($E1039&lt;&gt;"",$M1039=""),$N1039&lt;&gt;0),$A1039=""),IFERROR(INDEX(Investment!$H:$H,MATCH($E1039,Investment!$F:$F,0))),IFERROR(INDEX($R1040:$R1119,MATCH(SUBSTITUTE($I1039,"-","",1),$K1040:$K1119,0)),INDEX($R1040:$R1119,MATCH($K1039,$K1040:$K1119,0)))))</f>
        <v/>
      </c>
      <c r="S1039" s="35" t="str">
        <f t="shared" si="2"/>
        <v/>
      </c>
      <c r="T1039" s="37" t="str">
        <f t="shared" si="3"/>
        <v/>
      </c>
      <c r="U1039" s="38" t="str">
        <f t="shared" si="4"/>
        <v/>
      </c>
      <c r="V1039" s="31" t="str">
        <f t="shared" si="5"/>
        <v/>
      </c>
      <c r="W1039" s="39" t="str">
        <f>IFERROR(__xludf.DUMMYFUNCTION(" IF(Account!$F1039&lt;&gt;"""", SPLIT(Account!$F1039, "" ""), """")"),"")</f>
        <v/>
      </c>
      <c r="X1039" s="40"/>
      <c r="Y1039" s="40"/>
      <c r="Z1039" s="40"/>
      <c r="AA1039" s="40"/>
      <c r="AB1039" s="40"/>
      <c r="AC1039" s="40"/>
      <c r="AD1039" s="40"/>
      <c r="AE1039" s="40"/>
      <c r="AF1039" s="40"/>
      <c r="AG1039" s="40"/>
      <c r="AH1039" s="40"/>
      <c r="AI1039" s="40"/>
      <c r="AJ1039" s="40"/>
      <c r="AK1039" s="40"/>
    </row>
    <row r="1040">
      <c r="A1040" s="300"/>
      <c r="B1040" s="300"/>
      <c r="C1040" s="300"/>
      <c r="D1040" s="300"/>
      <c r="E1040" s="300"/>
      <c r="F1040" s="329"/>
      <c r="G1040" s="300"/>
      <c r="H1040" s="300"/>
      <c r="I1040" s="300"/>
      <c r="J1040" s="300"/>
      <c r="K1040" s="300"/>
      <c r="L1040" s="329"/>
      <c r="M1040" s="29" t="str">
        <f t="shared" si="1"/>
        <v/>
      </c>
      <c r="N1040" s="31" t="str">
        <f>IFERROR(__xludf.DUMMYFUNCTION("IF(Account!$F1040&lt;&gt;"""", VALUE(REGEXREPLACE($I1040, ""\,"", ""."")), """")"),"")</f>
        <v/>
      </c>
      <c r="O1040" s="33" t="str">
        <f>IF(Account!$F1040&lt;&gt;"", DATEVALUE(MID($A1040,4,3) &amp; LEFT($A1040,3) &amp; RIGHT($A1040,4)) + TIMEVALUE($B1040), "")</f>
        <v/>
      </c>
      <c r="P1040" s="34" t="str">
        <f>IF(Account!$F1040&lt;&gt;"", DATEVALUE(MID($C1040,4,3) &amp; LEFT($C1040,3) &amp; RIGHT($C1040,4)), "")</f>
        <v/>
      </c>
      <c r="Q1040" s="35" t="str">
        <f t="array" ref="Q1040">IF($R1040&lt;&gt;"",IFERROR(INDEX(Investment!$A:$A,MATCH($R1040,Investment!$H:$H,0))),)</f>
        <v/>
      </c>
      <c r="R1040" s="36" t="str">
        <f t="array" ref="R1040">IF(AND($Y1040="change",$H1040="EUR"),IF(AND($AA1040="Crédit",$O1040=$O1041),$R1041,IF(AND($AA1040="Débit",$O1040=$O1039),$R1039)),IF(OR(AND(OR($E1040&lt;&gt;"",$M1040=""),$N1040&lt;&gt;0),$A1040=""),IFERROR(INDEX(Investment!$H:$H,MATCH($E1040,Investment!$F:$F,0))),IFERROR(INDEX($R1041:$R1119,MATCH(SUBSTITUTE($I1040,"-","",1),$K1041:$K1119,0)),INDEX($R1041:$R1119,MATCH($K1040,$K1041:$K1119,0)))))</f>
        <v/>
      </c>
      <c r="S1040" s="35" t="str">
        <f t="shared" si="2"/>
        <v/>
      </c>
      <c r="T1040" s="37" t="str">
        <f t="shared" si="3"/>
        <v/>
      </c>
      <c r="U1040" s="38" t="str">
        <f t="shared" si="4"/>
        <v/>
      </c>
      <c r="V1040" s="31" t="str">
        <f t="shared" si="5"/>
        <v/>
      </c>
      <c r="W1040" s="39" t="str">
        <f>IFERROR(__xludf.DUMMYFUNCTION(" IF(Account!$F1040&lt;&gt;"""", SPLIT(Account!$F1040, "" ""), """")"),"")</f>
        <v/>
      </c>
      <c r="X1040" s="40"/>
      <c r="Y1040" s="40"/>
      <c r="Z1040" s="40"/>
      <c r="AA1040" s="40"/>
      <c r="AB1040" s="40"/>
      <c r="AC1040" s="40"/>
      <c r="AD1040" s="40"/>
      <c r="AE1040" s="40"/>
      <c r="AF1040" s="40"/>
      <c r="AG1040" s="40"/>
      <c r="AH1040" s="40"/>
      <c r="AI1040" s="40"/>
      <c r="AJ1040" s="40"/>
      <c r="AK1040" s="40"/>
    </row>
    <row r="1041">
      <c r="A1041" s="300"/>
      <c r="B1041" s="300"/>
      <c r="C1041" s="300"/>
      <c r="D1041" s="300"/>
      <c r="E1041" s="300"/>
      <c r="F1041" s="329"/>
      <c r="G1041" s="300"/>
      <c r="H1041" s="300"/>
      <c r="I1041" s="300"/>
      <c r="J1041" s="300"/>
      <c r="K1041" s="300"/>
      <c r="L1041" s="329"/>
      <c r="M1041" s="29" t="str">
        <f t="shared" si="1"/>
        <v/>
      </c>
      <c r="N1041" s="31" t="str">
        <f>IFERROR(__xludf.DUMMYFUNCTION("IF(Account!$F1041&lt;&gt;"""", VALUE(REGEXREPLACE($I1041, ""\,"", ""."")), """")"),"")</f>
        <v/>
      </c>
      <c r="O1041" s="33" t="str">
        <f>IF(Account!$F1041&lt;&gt;"", DATEVALUE(MID($A1041,4,3) &amp; LEFT($A1041,3) &amp; RIGHT($A1041,4)) + TIMEVALUE($B1041), "")</f>
        <v/>
      </c>
      <c r="P1041" s="34" t="str">
        <f>IF(Account!$F1041&lt;&gt;"", DATEVALUE(MID($C1041,4,3) &amp; LEFT($C1041,3) &amp; RIGHT($C1041,4)), "")</f>
        <v/>
      </c>
      <c r="Q1041" s="35" t="str">
        <f t="array" ref="Q1041">IF($R1041&lt;&gt;"",IFERROR(INDEX(Investment!$A:$A,MATCH($R1041,Investment!$H:$H,0))),)</f>
        <v/>
      </c>
      <c r="R1041" s="36" t="str">
        <f t="array" ref="R1041">IF(AND($Y1041="change",$H1041="EUR"),IF(AND($AA1041="Crédit",$O1041=$O1042),$R1042,IF(AND($AA1041="Débit",$O1041=$O1040),$R1040)),IF(OR(AND(OR($E1041&lt;&gt;"",$M1041=""),$N1041&lt;&gt;0),$A1041=""),IFERROR(INDEX(Investment!$H:$H,MATCH($E1041,Investment!$F:$F,0))),IFERROR(INDEX($R1042:$R1119,MATCH(SUBSTITUTE($I1041,"-","",1),$K1042:$K1119,0)),INDEX($R1042:$R1119,MATCH($K1041,$K1042:$K1119,0)))))</f>
        <v/>
      </c>
      <c r="S1041" s="35" t="str">
        <f t="shared" si="2"/>
        <v/>
      </c>
      <c r="T1041" s="37" t="str">
        <f t="shared" si="3"/>
        <v/>
      </c>
      <c r="U1041" s="38" t="str">
        <f t="shared" si="4"/>
        <v/>
      </c>
      <c r="V1041" s="31" t="str">
        <f t="shared" si="5"/>
        <v/>
      </c>
      <c r="W1041" s="39" t="str">
        <f>IFERROR(__xludf.DUMMYFUNCTION(" IF(Account!$F1041&lt;&gt;"""", SPLIT(Account!$F1041, "" ""), """")"),"")</f>
        <v/>
      </c>
      <c r="X1041" s="40"/>
      <c r="Y1041" s="40"/>
      <c r="Z1041" s="40"/>
      <c r="AA1041" s="40"/>
      <c r="AB1041" s="40"/>
      <c r="AC1041" s="40"/>
      <c r="AD1041" s="40"/>
      <c r="AE1041" s="40"/>
      <c r="AF1041" s="40"/>
      <c r="AG1041" s="40"/>
      <c r="AH1041" s="40"/>
      <c r="AI1041" s="40"/>
      <c r="AJ1041" s="40"/>
      <c r="AK1041" s="40"/>
    </row>
    <row r="1042">
      <c r="A1042" s="300"/>
      <c r="B1042" s="300"/>
      <c r="C1042" s="300"/>
      <c r="D1042" s="300"/>
      <c r="E1042" s="300"/>
      <c r="F1042" s="329"/>
      <c r="G1042" s="300"/>
      <c r="H1042" s="300"/>
      <c r="I1042" s="300"/>
      <c r="J1042" s="300"/>
      <c r="K1042" s="300"/>
      <c r="L1042" s="329"/>
      <c r="M1042" s="29" t="str">
        <f t="shared" si="1"/>
        <v/>
      </c>
      <c r="N1042" s="31" t="str">
        <f>IFERROR(__xludf.DUMMYFUNCTION("IF(Account!$F1042&lt;&gt;"""", VALUE(REGEXREPLACE($I1042, ""\,"", ""."")), """")"),"")</f>
        <v/>
      </c>
      <c r="O1042" s="33" t="str">
        <f>IF(Account!$F1042&lt;&gt;"", DATEVALUE(MID($A1042,4,3) &amp; LEFT($A1042,3) &amp; RIGHT($A1042,4)) + TIMEVALUE($B1042), "")</f>
        <v/>
      </c>
      <c r="P1042" s="34" t="str">
        <f>IF(Account!$F1042&lt;&gt;"", DATEVALUE(MID($C1042,4,3) &amp; LEFT($C1042,3) &amp; RIGHT($C1042,4)), "")</f>
        <v/>
      </c>
      <c r="Q1042" s="35" t="str">
        <f t="array" ref="Q1042">IF($R1042&lt;&gt;"",IFERROR(INDEX(Investment!$A:$A,MATCH($R1042,Investment!$H:$H,0))),)</f>
        <v/>
      </c>
      <c r="R1042" s="36" t="str">
        <f t="array" ref="R1042">IF(AND($Y1042="change",$H1042="EUR"),IF(AND($AA1042="Crédit",$O1042=$O1043),$R1043,IF(AND($AA1042="Débit",$O1042=$O1041),$R1041)),IF(OR(AND(OR($E1042&lt;&gt;"",$M1042=""),$N1042&lt;&gt;0),$A1042=""),IFERROR(INDEX(Investment!$H:$H,MATCH($E1042,Investment!$F:$F,0))),IFERROR(INDEX($R1043:$R1119,MATCH(SUBSTITUTE($I1042,"-","",1),$K1043:$K1119,0)),INDEX($R1043:$R1119,MATCH($K1042,$K1043:$K1119,0)))))</f>
        <v/>
      </c>
      <c r="S1042" s="35" t="str">
        <f t="shared" si="2"/>
        <v/>
      </c>
      <c r="T1042" s="37" t="str">
        <f t="shared" si="3"/>
        <v/>
      </c>
      <c r="U1042" s="38" t="str">
        <f t="shared" si="4"/>
        <v/>
      </c>
      <c r="V1042" s="31" t="str">
        <f t="shared" si="5"/>
        <v/>
      </c>
      <c r="W1042" s="39" t="str">
        <f>IFERROR(__xludf.DUMMYFUNCTION(" IF(Account!$F1042&lt;&gt;"""", SPLIT(Account!$F1042, "" ""), """")"),"")</f>
        <v/>
      </c>
      <c r="X1042" s="40"/>
      <c r="Y1042" s="40"/>
      <c r="Z1042" s="40"/>
      <c r="AA1042" s="40"/>
      <c r="AB1042" s="40"/>
      <c r="AC1042" s="40"/>
      <c r="AD1042" s="40"/>
      <c r="AE1042" s="40"/>
      <c r="AF1042" s="40"/>
      <c r="AG1042" s="40"/>
      <c r="AH1042" s="40"/>
      <c r="AI1042" s="40"/>
      <c r="AJ1042" s="40"/>
      <c r="AK1042" s="40"/>
    </row>
    <row r="1043">
      <c r="A1043" s="300"/>
      <c r="B1043" s="300"/>
      <c r="C1043" s="300"/>
      <c r="D1043" s="300"/>
      <c r="E1043" s="300"/>
      <c r="F1043" s="329"/>
      <c r="G1043" s="300"/>
      <c r="H1043" s="300"/>
      <c r="I1043" s="300"/>
      <c r="J1043" s="300"/>
      <c r="K1043" s="300"/>
      <c r="L1043" s="329"/>
      <c r="M1043" s="29" t="str">
        <f t="shared" si="1"/>
        <v/>
      </c>
      <c r="N1043" s="31" t="str">
        <f>IFERROR(__xludf.DUMMYFUNCTION("IF(Account!$F1043&lt;&gt;"""", VALUE(REGEXREPLACE($I1043, ""\,"", ""."")), """")"),"")</f>
        <v/>
      </c>
      <c r="O1043" s="33" t="str">
        <f>IF(Account!$F1043&lt;&gt;"", DATEVALUE(MID($A1043,4,3) &amp; LEFT($A1043,3) &amp; RIGHT($A1043,4)) + TIMEVALUE($B1043), "")</f>
        <v/>
      </c>
      <c r="P1043" s="34" t="str">
        <f>IF(Account!$F1043&lt;&gt;"", DATEVALUE(MID($C1043,4,3) &amp; LEFT($C1043,3) &amp; RIGHT($C1043,4)), "")</f>
        <v/>
      </c>
      <c r="Q1043" s="35" t="str">
        <f t="array" ref="Q1043">IF($R1043&lt;&gt;"",IFERROR(INDEX(Investment!$A:$A,MATCH($R1043,Investment!$H:$H,0))),)</f>
        <v/>
      </c>
      <c r="R1043" s="36" t="str">
        <f t="array" ref="R1043">IF(AND($Y1043="change",$H1043="EUR"),IF(AND($AA1043="Crédit",$O1043=$O1044),$R1044,IF(AND($AA1043="Débit",$O1043=$O1042),$R1042)),IF(OR(AND(OR($E1043&lt;&gt;"",$M1043=""),$N1043&lt;&gt;0),$A1043=""),IFERROR(INDEX(Investment!$H:$H,MATCH($E1043,Investment!$F:$F,0))),IFERROR(INDEX($R1044:$R1119,MATCH(SUBSTITUTE($I1043,"-","",1),$K1044:$K1119,0)),INDEX($R1044:$R1119,MATCH($K1043,$K1044:$K1119,0)))))</f>
        <v/>
      </c>
      <c r="S1043" s="35" t="str">
        <f t="shared" si="2"/>
        <v/>
      </c>
      <c r="T1043" s="37" t="str">
        <f t="shared" si="3"/>
        <v/>
      </c>
      <c r="U1043" s="38" t="str">
        <f t="shared" si="4"/>
        <v/>
      </c>
      <c r="V1043" s="31" t="str">
        <f t="shared" si="5"/>
        <v/>
      </c>
      <c r="W1043" s="39" t="str">
        <f>IFERROR(__xludf.DUMMYFUNCTION(" IF(Account!$F1043&lt;&gt;"""", SPLIT(Account!$F1043, "" ""), """")"),"")</f>
        <v/>
      </c>
      <c r="X1043" s="40"/>
      <c r="Y1043" s="40"/>
      <c r="Z1043" s="40"/>
      <c r="AA1043" s="40"/>
      <c r="AB1043" s="40"/>
      <c r="AC1043" s="40"/>
      <c r="AD1043" s="40"/>
      <c r="AE1043" s="40"/>
      <c r="AF1043" s="40"/>
      <c r="AG1043" s="40"/>
      <c r="AH1043" s="40"/>
      <c r="AI1043" s="40"/>
      <c r="AJ1043" s="40"/>
      <c r="AK1043" s="40"/>
    </row>
    <row r="1044">
      <c r="A1044" s="300"/>
      <c r="B1044" s="300"/>
      <c r="C1044" s="300"/>
      <c r="D1044" s="300"/>
      <c r="E1044" s="300"/>
      <c r="F1044" s="329"/>
      <c r="G1044" s="300"/>
      <c r="H1044" s="300"/>
      <c r="I1044" s="300"/>
      <c r="J1044" s="300"/>
      <c r="K1044" s="300"/>
      <c r="L1044" s="329"/>
      <c r="M1044" s="29" t="str">
        <f t="shared" si="1"/>
        <v/>
      </c>
      <c r="N1044" s="31" t="str">
        <f>IFERROR(__xludf.DUMMYFUNCTION("IF(Account!$F1044&lt;&gt;"""", VALUE(REGEXREPLACE($I1044, ""\,"", ""."")), """")"),"")</f>
        <v/>
      </c>
      <c r="O1044" s="33" t="str">
        <f>IF(Account!$F1044&lt;&gt;"", DATEVALUE(MID($A1044,4,3) &amp; LEFT($A1044,3) &amp; RIGHT($A1044,4)) + TIMEVALUE($B1044), "")</f>
        <v/>
      </c>
      <c r="P1044" s="34" t="str">
        <f>IF(Account!$F1044&lt;&gt;"", DATEVALUE(MID($C1044,4,3) &amp; LEFT($C1044,3) &amp; RIGHT($C1044,4)), "")</f>
        <v/>
      </c>
      <c r="Q1044" s="35" t="str">
        <f t="array" ref="Q1044">IF($R1044&lt;&gt;"",IFERROR(INDEX(Investment!$A:$A,MATCH($R1044,Investment!$H:$H,0))),)</f>
        <v/>
      </c>
      <c r="R1044" s="36" t="str">
        <f t="array" ref="R1044">IF(AND($Y1044="change",$H1044="EUR"),IF(AND($AA1044="Crédit",$O1044=$O1045),$R1045,IF(AND($AA1044="Débit",$O1044=$O1043),$R1043)),IF(OR(AND(OR($E1044&lt;&gt;"",$M1044=""),$N1044&lt;&gt;0),$A1044=""),IFERROR(INDEX(Investment!$H:$H,MATCH($E1044,Investment!$F:$F,0))),IFERROR(INDEX($R1045:$R1119,MATCH(SUBSTITUTE($I1044,"-","",1),$K1045:$K1119,0)),INDEX($R1045:$R1119,MATCH($K1044,$K1045:$K1119,0)))))</f>
        <v/>
      </c>
      <c r="S1044" s="35" t="str">
        <f t="shared" si="2"/>
        <v/>
      </c>
      <c r="T1044" s="37" t="str">
        <f t="shared" si="3"/>
        <v/>
      </c>
      <c r="U1044" s="38" t="str">
        <f t="shared" si="4"/>
        <v/>
      </c>
      <c r="V1044" s="31" t="str">
        <f t="shared" si="5"/>
        <v/>
      </c>
      <c r="W1044" s="39" t="str">
        <f>IFERROR(__xludf.DUMMYFUNCTION(" IF(Account!$F1044&lt;&gt;"""", SPLIT(Account!$F1044, "" ""), """")"),"")</f>
        <v/>
      </c>
      <c r="X1044" s="40"/>
      <c r="Y1044" s="40"/>
      <c r="Z1044" s="40"/>
      <c r="AA1044" s="40"/>
      <c r="AB1044" s="40"/>
      <c r="AC1044" s="40"/>
      <c r="AD1044" s="40"/>
      <c r="AE1044" s="40"/>
      <c r="AF1044" s="40"/>
      <c r="AG1044" s="40"/>
      <c r="AH1044" s="40"/>
      <c r="AI1044" s="40"/>
      <c r="AJ1044" s="40"/>
      <c r="AK1044" s="40"/>
    </row>
    <row r="1045">
      <c r="A1045" s="300"/>
      <c r="B1045" s="300"/>
      <c r="C1045" s="300"/>
      <c r="D1045" s="300"/>
      <c r="E1045" s="300"/>
      <c r="F1045" s="329"/>
      <c r="G1045" s="300"/>
      <c r="H1045" s="300"/>
      <c r="I1045" s="300"/>
      <c r="J1045" s="300"/>
      <c r="K1045" s="300"/>
      <c r="L1045" s="329"/>
      <c r="M1045" s="29" t="str">
        <f t="shared" si="1"/>
        <v/>
      </c>
      <c r="N1045" s="31" t="str">
        <f>IFERROR(__xludf.DUMMYFUNCTION("IF(Account!$F1045&lt;&gt;"""", VALUE(REGEXREPLACE($I1045, ""\,"", ""."")), """")"),"")</f>
        <v/>
      </c>
      <c r="O1045" s="33" t="str">
        <f>IF(Account!$F1045&lt;&gt;"", DATEVALUE(MID($A1045,4,3) &amp; LEFT($A1045,3) &amp; RIGHT($A1045,4)) + TIMEVALUE($B1045), "")</f>
        <v/>
      </c>
      <c r="P1045" s="34" t="str">
        <f>IF(Account!$F1045&lt;&gt;"", DATEVALUE(MID($C1045,4,3) &amp; LEFT($C1045,3) &amp; RIGHT($C1045,4)), "")</f>
        <v/>
      </c>
      <c r="Q1045" s="35" t="str">
        <f t="array" ref="Q1045">IF($R1045&lt;&gt;"",IFERROR(INDEX(Investment!$A:$A,MATCH($R1045,Investment!$H:$H,0))),)</f>
        <v/>
      </c>
      <c r="R1045" s="36" t="str">
        <f t="array" ref="R1045">IF(AND($Y1045="change",$H1045="EUR"),IF(AND($AA1045="Crédit",$O1045=$O1046),$R1046,IF(AND($AA1045="Débit",$O1045=$O1044),$R1044)),IF(OR(AND(OR($E1045&lt;&gt;"",$M1045=""),$N1045&lt;&gt;0),$A1045=""),IFERROR(INDEX(Investment!$H:$H,MATCH($E1045,Investment!$F:$F,0))),IFERROR(INDEX($R1046:$R1119,MATCH(SUBSTITUTE($I1045,"-","",1),$K1046:$K1119,0)),INDEX($R1046:$R1119,MATCH($K1045,$K1046:$K1119,0)))))</f>
        <v/>
      </c>
      <c r="S1045" s="35" t="str">
        <f t="shared" si="2"/>
        <v/>
      </c>
      <c r="T1045" s="37" t="str">
        <f t="shared" si="3"/>
        <v/>
      </c>
      <c r="U1045" s="38" t="str">
        <f t="shared" si="4"/>
        <v/>
      </c>
      <c r="V1045" s="31" t="str">
        <f t="shared" si="5"/>
        <v/>
      </c>
      <c r="W1045" s="39" t="str">
        <f>IFERROR(__xludf.DUMMYFUNCTION(" IF(Account!$F1045&lt;&gt;"""", SPLIT(Account!$F1045, "" ""), """")"),"")</f>
        <v/>
      </c>
      <c r="X1045" s="40"/>
      <c r="Y1045" s="40"/>
      <c r="Z1045" s="40"/>
      <c r="AA1045" s="40"/>
      <c r="AB1045" s="40"/>
      <c r="AC1045" s="40"/>
      <c r="AD1045" s="40"/>
      <c r="AE1045" s="40"/>
      <c r="AF1045" s="40"/>
      <c r="AG1045" s="40"/>
      <c r="AH1045" s="40"/>
      <c r="AI1045" s="40"/>
      <c r="AJ1045" s="40"/>
      <c r="AK1045" s="40"/>
    </row>
    <row r="1046">
      <c r="A1046" s="300"/>
      <c r="B1046" s="300"/>
      <c r="C1046" s="300"/>
      <c r="D1046" s="300"/>
      <c r="E1046" s="300"/>
      <c r="F1046" s="329"/>
      <c r="G1046" s="300"/>
      <c r="H1046" s="300"/>
      <c r="I1046" s="300"/>
      <c r="J1046" s="300"/>
      <c r="K1046" s="300"/>
      <c r="L1046" s="329"/>
      <c r="M1046" s="29" t="str">
        <f t="shared" si="1"/>
        <v/>
      </c>
      <c r="N1046" s="31" t="str">
        <f>IFERROR(__xludf.DUMMYFUNCTION("IF(Account!$F1046&lt;&gt;"""", VALUE(REGEXREPLACE($I1046, ""\,"", ""."")), """")"),"")</f>
        <v/>
      </c>
      <c r="O1046" s="33" t="str">
        <f>IF(Account!$F1046&lt;&gt;"", DATEVALUE(MID($A1046,4,3) &amp; LEFT($A1046,3) &amp; RIGHT($A1046,4)) + TIMEVALUE($B1046), "")</f>
        <v/>
      </c>
      <c r="P1046" s="34" t="str">
        <f>IF(Account!$F1046&lt;&gt;"", DATEVALUE(MID($C1046,4,3) &amp; LEFT($C1046,3) &amp; RIGHT($C1046,4)), "")</f>
        <v/>
      </c>
      <c r="Q1046" s="35" t="str">
        <f t="array" ref="Q1046">IF($R1046&lt;&gt;"",IFERROR(INDEX(Investment!$A:$A,MATCH($R1046,Investment!$H:$H,0))),)</f>
        <v/>
      </c>
      <c r="R1046" s="36" t="str">
        <f t="array" ref="R1046">IF(AND($Y1046="change",$H1046="EUR"),IF(AND($AA1046="Crédit",$O1046=$O1047),$R1047,IF(AND($AA1046="Débit",$O1046=$O1045),$R1045)),IF(OR(AND(OR($E1046&lt;&gt;"",$M1046=""),$N1046&lt;&gt;0),$A1046=""),IFERROR(INDEX(Investment!$H:$H,MATCH($E1046,Investment!$F:$F,0))),IFERROR(INDEX($R1047:$R1119,MATCH(SUBSTITUTE($I1046,"-","",1),$K1047:$K1119,0)),INDEX($R1047:$R1119,MATCH($K1046,$K1047:$K1119,0)))))</f>
        <v/>
      </c>
      <c r="S1046" s="35" t="str">
        <f t="shared" si="2"/>
        <v/>
      </c>
      <c r="T1046" s="37" t="str">
        <f t="shared" si="3"/>
        <v/>
      </c>
      <c r="U1046" s="38" t="str">
        <f t="shared" si="4"/>
        <v/>
      </c>
      <c r="V1046" s="31" t="str">
        <f t="shared" si="5"/>
        <v/>
      </c>
      <c r="W1046" s="39" t="str">
        <f>IFERROR(__xludf.DUMMYFUNCTION(" IF(Account!$F1046&lt;&gt;"""", SPLIT(Account!$F1046, "" ""), """")"),"")</f>
        <v/>
      </c>
      <c r="X1046" s="40"/>
      <c r="Y1046" s="40"/>
      <c r="Z1046" s="40"/>
      <c r="AA1046" s="40"/>
      <c r="AB1046" s="40"/>
      <c r="AC1046" s="40"/>
      <c r="AD1046" s="40"/>
      <c r="AE1046" s="40"/>
      <c r="AF1046" s="40"/>
      <c r="AG1046" s="40"/>
      <c r="AH1046" s="40"/>
      <c r="AI1046" s="40"/>
      <c r="AJ1046" s="40"/>
      <c r="AK1046" s="40"/>
    </row>
    <row r="1047">
      <c r="A1047" s="300"/>
      <c r="B1047" s="300"/>
      <c r="C1047" s="300"/>
      <c r="D1047" s="300"/>
      <c r="E1047" s="300"/>
      <c r="F1047" s="329"/>
      <c r="G1047" s="300"/>
      <c r="H1047" s="300"/>
      <c r="I1047" s="300"/>
      <c r="J1047" s="300"/>
      <c r="K1047" s="300"/>
      <c r="L1047" s="329"/>
      <c r="M1047" s="29" t="str">
        <f t="shared" si="1"/>
        <v/>
      </c>
      <c r="N1047" s="31" t="str">
        <f>IFERROR(__xludf.DUMMYFUNCTION("IF(Account!$F1047&lt;&gt;"""", VALUE(REGEXREPLACE($I1047, ""\,"", ""."")), """")"),"")</f>
        <v/>
      </c>
      <c r="O1047" s="33" t="str">
        <f>IF(Account!$F1047&lt;&gt;"", DATEVALUE(MID($A1047,4,3) &amp; LEFT($A1047,3) &amp; RIGHT($A1047,4)) + TIMEVALUE($B1047), "")</f>
        <v/>
      </c>
      <c r="P1047" s="34" t="str">
        <f>IF(Account!$F1047&lt;&gt;"", DATEVALUE(MID($C1047,4,3) &amp; LEFT($C1047,3) &amp; RIGHT($C1047,4)), "")</f>
        <v/>
      </c>
      <c r="Q1047" s="35" t="str">
        <f t="array" ref="Q1047">IF($R1047&lt;&gt;"",IFERROR(INDEX(Investment!$A:$A,MATCH($R1047,Investment!$H:$H,0))),)</f>
        <v/>
      </c>
      <c r="R1047" s="36" t="str">
        <f t="array" ref="R1047">IF(AND($Y1047="change",$H1047="EUR"),IF(AND($AA1047="Crédit",$O1047=$O1048),$R1048,IF(AND($AA1047="Débit",$O1047=$O1046),$R1046)),IF(OR(AND(OR($E1047&lt;&gt;"",$M1047=""),$N1047&lt;&gt;0),$A1047=""),IFERROR(INDEX(Investment!$H:$H,MATCH($E1047,Investment!$F:$F,0))),IFERROR(INDEX($R1048:$R1119,MATCH(SUBSTITUTE($I1047,"-","",1),$K1048:$K1119,0)),INDEX($R1048:$R1119,MATCH($K1047,$K1048:$K1119,0)))))</f>
        <v/>
      </c>
      <c r="S1047" s="35" t="str">
        <f t="shared" si="2"/>
        <v/>
      </c>
      <c r="T1047" s="37" t="str">
        <f t="shared" si="3"/>
        <v/>
      </c>
      <c r="U1047" s="38" t="str">
        <f t="shared" si="4"/>
        <v/>
      </c>
      <c r="V1047" s="31" t="str">
        <f t="shared" si="5"/>
        <v/>
      </c>
      <c r="W1047" s="39" t="str">
        <f>IFERROR(__xludf.DUMMYFUNCTION(" IF(Account!$F1047&lt;&gt;"""", SPLIT(Account!$F1047, "" ""), """")"),"")</f>
        <v/>
      </c>
      <c r="X1047" s="40"/>
      <c r="Y1047" s="40"/>
      <c r="Z1047" s="40"/>
      <c r="AA1047" s="40"/>
      <c r="AB1047" s="40"/>
      <c r="AC1047" s="40"/>
      <c r="AD1047" s="40"/>
      <c r="AE1047" s="40"/>
      <c r="AF1047" s="40"/>
      <c r="AG1047" s="40"/>
      <c r="AH1047" s="40"/>
      <c r="AI1047" s="40"/>
      <c r="AJ1047" s="40"/>
      <c r="AK1047" s="40"/>
    </row>
    <row r="1048">
      <c r="A1048" s="300"/>
      <c r="B1048" s="300"/>
      <c r="C1048" s="300"/>
      <c r="D1048" s="300"/>
      <c r="E1048" s="300"/>
      <c r="F1048" s="329"/>
      <c r="G1048" s="300"/>
      <c r="H1048" s="300"/>
      <c r="I1048" s="300"/>
      <c r="J1048" s="300"/>
      <c r="K1048" s="300"/>
      <c r="L1048" s="329"/>
      <c r="M1048" s="29" t="str">
        <f t="shared" si="1"/>
        <v/>
      </c>
      <c r="N1048" s="31" t="str">
        <f>IFERROR(__xludf.DUMMYFUNCTION("IF(Account!$F1048&lt;&gt;"""", VALUE(REGEXREPLACE($I1048, ""\,"", ""."")), """")"),"")</f>
        <v/>
      </c>
      <c r="O1048" s="33" t="str">
        <f>IF(Account!$F1048&lt;&gt;"", DATEVALUE(MID($A1048,4,3) &amp; LEFT($A1048,3) &amp; RIGHT($A1048,4)) + TIMEVALUE($B1048), "")</f>
        <v/>
      </c>
      <c r="P1048" s="34" t="str">
        <f>IF(Account!$F1048&lt;&gt;"", DATEVALUE(MID($C1048,4,3) &amp; LEFT($C1048,3) &amp; RIGHT($C1048,4)), "")</f>
        <v/>
      </c>
      <c r="Q1048" s="35" t="str">
        <f t="array" ref="Q1048">IF($R1048&lt;&gt;"",IFERROR(INDEX(Investment!$A:$A,MATCH($R1048,Investment!$H:$H,0))),)</f>
        <v/>
      </c>
      <c r="R1048" s="36" t="str">
        <f t="array" ref="R1048">IF(AND($Y1048="change",$H1048="EUR"),IF(AND($AA1048="Crédit",$O1048=$O1049),$R1049,IF(AND($AA1048="Débit",$O1048=$O1047),$R1047)),IF(OR(AND(OR($E1048&lt;&gt;"",$M1048=""),$N1048&lt;&gt;0),$A1048=""),IFERROR(INDEX(Investment!$H:$H,MATCH($E1048,Investment!$F:$F,0))),IFERROR(INDEX($R1049:$R1119,MATCH(SUBSTITUTE($I1048,"-","",1),$K1049:$K1119,0)),INDEX($R1049:$R1119,MATCH($K1048,$K1049:$K1119,0)))))</f>
        <v/>
      </c>
      <c r="S1048" s="35" t="str">
        <f t="shared" si="2"/>
        <v/>
      </c>
      <c r="T1048" s="37" t="str">
        <f t="shared" si="3"/>
        <v/>
      </c>
      <c r="U1048" s="38" t="str">
        <f t="shared" si="4"/>
        <v/>
      </c>
      <c r="V1048" s="31" t="str">
        <f t="shared" si="5"/>
        <v/>
      </c>
      <c r="W1048" s="39" t="str">
        <f>IFERROR(__xludf.DUMMYFUNCTION(" IF(Account!$F1048&lt;&gt;"""", SPLIT(Account!$F1048, "" ""), """")"),"")</f>
        <v/>
      </c>
      <c r="X1048" s="40"/>
      <c r="Y1048" s="40"/>
      <c r="Z1048" s="40"/>
      <c r="AA1048" s="40"/>
      <c r="AB1048" s="40"/>
      <c r="AC1048" s="40"/>
      <c r="AD1048" s="40"/>
      <c r="AE1048" s="40"/>
      <c r="AF1048" s="40"/>
      <c r="AG1048" s="40"/>
      <c r="AH1048" s="40"/>
      <c r="AI1048" s="40"/>
      <c r="AJ1048" s="40"/>
      <c r="AK1048" s="40"/>
    </row>
    <row r="1049">
      <c r="A1049" s="300"/>
      <c r="B1049" s="300"/>
      <c r="C1049" s="300"/>
      <c r="D1049" s="300"/>
      <c r="E1049" s="300"/>
      <c r="F1049" s="329"/>
      <c r="G1049" s="300"/>
      <c r="H1049" s="300"/>
      <c r="I1049" s="300"/>
      <c r="J1049" s="300"/>
      <c r="K1049" s="300"/>
      <c r="L1049" s="329"/>
      <c r="M1049" s="29" t="str">
        <f t="shared" si="1"/>
        <v/>
      </c>
      <c r="N1049" s="31" t="str">
        <f>IFERROR(__xludf.DUMMYFUNCTION("IF(Account!$F1049&lt;&gt;"""", VALUE(REGEXREPLACE($I1049, ""\,"", ""."")), """")"),"")</f>
        <v/>
      </c>
      <c r="O1049" s="33" t="str">
        <f>IF(Account!$F1049&lt;&gt;"", DATEVALUE(MID($A1049,4,3) &amp; LEFT($A1049,3) &amp; RIGHT($A1049,4)) + TIMEVALUE($B1049), "")</f>
        <v/>
      </c>
      <c r="P1049" s="34" t="str">
        <f>IF(Account!$F1049&lt;&gt;"", DATEVALUE(MID($C1049,4,3) &amp; LEFT($C1049,3) &amp; RIGHT($C1049,4)), "")</f>
        <v/>
      </c>
      <c r="Q1049" s="35" t="str">
        <f t="array" ref="Q1049">IF($R1049&lt;&gt;"",IFERROR(INDEX(Investment!$A:$A,MATCH($R1049,Investment!$H:$H,0))),)</f>
        <v/>
      </c>
      <c r="R1049" s="36" t="str">
        <f t="array" ref="R1049">IF(AND($Y1049="change",$H1049="EUR"),IF(AND($AA1049="Crédit",$O1049=$O1050),$R1050,IF(AND($AA1049="Débit",$O1049=$O1048),$R1048)),IF(OR(AND(OR($E1049&lt;&gt;"",$M1049=""),$N1049&lt;&gt;0),$A1049=""),IFERROR(INDEX(Investment!$H:$H,MATCH($E1049,Investment!$F:$F,0))),IFERROR(INDEX($R1050:$R1119,MATCH(SUBSTITUTE($I1049,"-","",1),$K1050:$K1119,0)),INDEX($R1050:$R1119,MATCH($K1049,$K1050:$K1119,0)))))</f>
        <v/>
      </c>
      <c r="S1049" s="35" t="str">
        <f t="shared" si="2"/>
        <v/>
      </c>
      <c r="T1049" s="37" t="str">
        <f t="shared" si="3"/>
        <v/>
      </c>
      <c r="U1049" s="38" t="str">
        <f t="shared" si="4"/>
        <v/>
      </c>
      <c r="V1049" s="31" t="str">
        <f t="shared" si="5"/>
        <v/>
      </c>
      <c r="W1049" s="39" t="str">
        <f>IFERROR(__xludf.DUMMYFUNCTION(" IF(Account!$F1049&lt;&gt;"""", SPLIT(Account!$F1049, "" ""), """")"),"")</f>
        <v/>
      </c>
      <c r="X1049" s="40"/>
      <c r="Y1049" s="40"/>
      <c r="Z1049" s="40"/>
      <c r="AA1049" s="40"/>
      <c r="AB1049" s="40"/>
      <c r="AC1049" s="40"/>
      <c r="AD1049" s="40"/>
      <c r="AE1049" s="40"/>
      <c r="AF1049" s="40"/>
      <c r="AG1049" s="40"/>
      <c r="AH1049" s="40"/>
      <c r="AI1049" s="40"/>
      <c r="AJ1049" s="40"/>
      <c r="AK1049" s="40"/>
    </row>
    <row r="1050">
      <c r="A1050" s="300"/>
      <c r="B1050" s="300"/>
      <c r="C1050" s="300"/>
      <c r="D1050" s="300"/>
      <c r="E1050" s="300"/>
      <c r="F1050" s="329"/>
      <c r="G1050" s="300"/>
      <c r="H1050" s="300"/>
      <c r="I1050" s="300"/>
      <c r="J1050" s="300"/>
      <c r="K1050" s="300"/>
      <c r="L1050" s="329"/>
      <c r="M1050" s="29" t="str">
        <f t="shared" si="1"/>
        <v/>
      </c>
      <c r="N1050" s="31" t="str">
        <f>IFERROR(__xludf.DUMMYFUNCTION("IF(Account!$F1050&lt;&gt;"""", VALUE(REGEXREPLACE($I1050, ""\,"", ""."")), """")"),"")</f>
        <v/>
      </c>
      <c r="O1050" s="33" t="str">
        <f>IF(Account!$F1050&lt;&gt;"", DATEVALUE(MID($A1050,4,3) &amp; LEFT($A1050,3) &amp; RIGHT($A1050,4)) + TIMEVALUE($B1050), "")</f>
        <v/>
      </c>
      <c r="P1050" s="34" t="str">
        <f>IF(Account!$F1050&lt;&gt;"", DATEVALUE(MID($C1050,4,3) &amp; LEFT($C1050,3) &amp; RIGHT($C1050,4)), "")</f>
        <v/>
      </c>
      <c r="Q1050" s="35" t="str">
        <f t="array" ref="Q1050">IF($R1050&lt;&gt;"",IFERROR(INDEX(Investment!$A:$A,MATCH($R1050,Investment!$H:$H,0))),)</f>
        <v/>
      </c>
      <c r="R1050" s="36" t="str">
        <f t="array" ref="R1050">IF(AND($Y1050="change",$H1050="EUR"),IF(AND($AA1050="Crédit",$O1050=$O1051),$R1051,IF(AND($AA1050="Débit",$O1050=$O1049),$R1049)),IF(OR(AND(OR($E1050&lt;&gt;"",$M1050=""),$N1050&lt;&gt;0),$A1050=""),IFERROR(INDEX(Investment!$H:$H,MATCH($E1050,Investment!$F:$F,0))),IFERROR(INDEX($R1051:$R1119,MATCH(SUBSTITUTE($I1050,"-","",1),$K1051:$K1119,0)),INDEX($R1051:$R1119,MATCH($K1050,$K1051:$K1119,0)))))</f>
        <v/>
      </c>
      <c r="S1050" s="35" t="str">
        <f t="shared" si="2"/>
        <v/>
      </c>
      <c r="T1050" s="37" t="str">
        <f t="shared" si="3"/>
        <v/>
      </c>
      <c r="U1050" s="38" t="str">
        <f t="shared" si="4"/>
        <v/>
      </c>
      <c r="V1050" s="31" t="str">
        <f t="shared" si="5"/>
        <v/>
      </c>
      <c r="W1050" s="39" t="str">
        <f>IFERROR(__xludf.DUMMYFUNCTION(" IF(Account!$F1050&lt;&gt;"""", SPLIT(Account!$F1050, "" ""), """")"),"")</f>
        <v/>
      </c>
      <c r="X1050" s="40"/>
      <c r="Y1050" s="40"/>
      <c r="Z1050" s="40"/>
      <c r="AA1050" s="40"/>
      <c r="AB1050" s="40"/>
      <c r="AC1050" s="40"/>
      <c r="AD1050" s="40"/>
      <c r="AE1050" s="40"/>
      <c r="AF1050" s="40"/>
      <c r="AG1050" s="40"/>
      <c r="AH1050" s="40"/>
      <c r="AI1050" s="40"/>
      <c r="AJ1050" s="40"/>
      <c r="AK1050" s="40"/>
    </row>
    <row r="1051">
      <c r="A1051" s="300"/>
      <c r="B1051" s="300"/>
      <c r="C1051" s="300"/>
      <c r="D1051" s="300"/>
      <c r="E1051" s="300"/>
      <c r="F1051" s="329"/>
      <c r="G1051" s="300"/>
      <c r="H1051" s="300"/>
      <c r="I1051" s="300"/>
      <c r="J1051" s="300"/>
      <c r="K1051" s="300"/>
      <c r="L1051" s="329"/>
      <c r="M1051" s="29" t="str">
        <f t="shared" si="1"/>
        <v/>
      </c>
      <c r="N1051" s="31" t="str">
        <f>IFERROR(__xludf.DUMMYFUNCTION("IF(Account!$F1051&lt;&gt;"""", VALUE(REGEXREPLACE($I1051, ""\,"", ""."")), """")"),"")</f>
        <v/>
      </c>
      <c r="O1051" s="33" t="str">
        <f>IF(Account!$F1051&lt;&gt;"", DATEVALUE(MID($A1051,4,3) &amp; LEFT($A1051,3) &amp; RIGHT($A1051,4)) + TIMEVALUE($B1051), "")</f>
        <v/>
      </c>
      <c r="P1051" s="34" t="str">
        <f>IF(Account!$F1051&lt;&gt;"", DATEVALUE(MID($C1051,4,3) &amp; LEFT($C1051,3) &amp; RIGHT($C1051,4)), "")</f>
        <v/>
      </c>
      <c r="Q1051" s="35" t="str">
        <f t="array" ref="Q1051">IF($R1051&lt;&gt;"",IFERROR(INDEX(Investment!$A:$A,MATCH($R1051,Investment!$H:$H,0))),)</f>
        <v/>
      </c>
      <c r="R1051" s="36" t="str">
        <f t="array" ref="R1051">IF(AND($Y1051="change",$H1051="EUR"),IF(AND($AA1051="Crédit",$O1051=$O1052),$R1052,IF(AND($AA1051="Débit",$O1051=$O1050),$R1050)),IF(OR(AND(OR($E1051&lt;&gt;"",$M1051=""),$N1051&lt;&gt;0),$A1051=""),IFERROR(INDEX(Investment!$H:$H,MATCH($E1051,Investment!$F:$F,0))),IFERROR(INDEX($R1052:$R1119,MATCH(SUBSTITUTE($I1051,"-","",1),$K1052:$K1119,0)),INDEX($R1052:$R1119,MATCH($K1051,$K1052:$K1119,0)))))</f>
        <v/>
      </c>
      <c r="S1051" s="35" t="str">
        <f t="shared" si="2"/>
        <v/>
      </c>
      <c r="T1051" s="37" t="str">
        <f t="shared" si="3"/>
        <v/>
      </c>
      <c r="U1051" s="38" t="str">
        <f t="shared" si="4"/>
        <v/>
      </c>
      <c r="V1051" s="31" t="str">
        <f t="shared" si="5"/>
        <v/>
      </c>
      <c r="W1051" s="39" t="str">
        <f>IFERROR(__xludf.DUMMYFUNCTION(" IF(Account!$F1051&lt;&gt;"""", SPLIT(Account!$F1051, "" ""), """")"),"")</f>
        <v/>
      </c>
      <c r="X1051" s="40"/>
      <c r="Y1051" s="40"/>
      <c r="Z1051" s="40"/>
      <c r="AA1051" s="40"/>
      <c r="AB1051" s="40"/>
      <c r="AC1051" s="40"/>
      <c r="AD1051" s="40"/>
      <c r="AE1051" s="40"/>
      <c r="AF1051" s="40"/>
      <c r="AG1051" s="40"/>
      <c r="AH1051" s="40"/>
      <c r="AI1051" s="40"/>
      <c r="AJ1051" s="40"/>
      <c r="AK1051" s="40"/>
    </row>
    <row r="1052">
      <c r="A1052" s="300"/>
      <c r="B1052" s="300"/>
      <c r="C1052" s="300"/>
      <c r="D1052" s="300"/>
      <c r="E1052" s="300"/>
      <c r="F1052" s="329"/>
      <c r="G1052" s="300"/>
      <c r="H1052" s="300"/>
      <c r="I1052" s="300"/>
      <c r="J1052" s="300"/>
      <c r="K1052" s="300"/>
      <c r="L1052" s="329"/>
      <c r="M1052" s="29" t="str">
        <f t="shared" si="1"/>
        <v/>
      </c>
      <c r="N1052" s="31" t="str">
        <f>IFERROR(__xludf.DUMMYFUNCTION("IF(Account!$F1052&lt;&gt;"""", VALUE(REGEXREPLACE($I1052, ""\,"", ""."")), """")"),"")</f>
        <v/>
      </c>
      <c r="O1052" s="33" t="str">
        <f>IF(Account!$F1052&lt;&gt;"", DATEVALUE(MID($A1052,4,3) &amp; LEFT($A1052,3) &amp; RIGHT($A1052,4)) + TIMEVALUE($B1052), "")</f>
        <v/>
      </c>
      <c r="P1052" s="34" t="str">
        <f>IF(Account!$F1052&lt;&gt;"", DATEVALUE(MID($C1052,4,3) &amp; LEFT($C1052,3) &amp; RIGHT($C1052,4)), "")</f>
        <v/>
      </c>
      <c r="Q1052" s="35" t="str">
        <f t="array" ref="Q1052">IF($R1052&lt;&gt;"",IFERROR(INDEX(Investment!$A:$A,MATCH($R1052,Investment!$H:$H,0))),)</f>
        <v/>
      </c>
      <c r="R1052" s="36" t="str">
        <f t="array" ref="R1052">IF(AND($Y1052="change",$H1052="EUR"),IF(AND($AA1052="Crédit",$O1052=$O1053),$R1053,IF(AND($AA1052="Débit",$O1052=$O1051),$R1051)),IF(OR(AND(OR($E1052&lt;&gt;"",$M1052=""),$N1052&lt;&gt;0),$A1052=""),IFERROR(INDEX(Investment!$H:$H,MATCH($E1052,Investment!$F:$F,0))),IFERROR(INDEX($R1053:$R1119,MATCH(SUBSTITUTE($I1052,"-","",1),$K1053:$K1119,0)),INDEX($R1053:$R1119,MATCH($K1052,$K1053:$K1119,0)))))</f>
        <v/>
      </c>
      <c r="S1052" s="35" t="str">
        <f t="shared" si="2"/>
        <v/>
      </c>
      <c r="T1052" s="37" t="str">
        <f t="shared" si="3"/>
        <v/>
      </c>
      <c r="U1052" s="38" t="str">
        <f t="shared" si="4"/>
        <v/>
      </c>
      <c r="V1052" s="31" t="str">
        <f t="shared" si="5"/>
        <v/>
      </c>
      <c r="W1052" s="39" t="str">
        <f>IFERROR(__xludf.DUMMYFUNCTION(" IF(Account!$F1052&lt;&gt;"""", SPLIT(Account!$F1052, "" ""), """")"),"")</f>
        <v/>
      </c>
      <c r="X1052" s="40"/>
      <c r="Y1052" s="40"/>
      <c r="Z1052" s="40"/>
      <c r="AA1052" s="40"/>
      <c r="AB1052" s="40"/>
      <c r="AC1052" s="40"/>
      <c r="AD1052" s="40"/>
      <c r="AE1052" s="40"/>
      <c r="AF1052" s="40"/>
      <c r="AG1052" s="40"/>
      <c r="AH1052" s="40"/>
      <c r="AI1052" s="40"/>
      <c r="AJ1052" s="40"/>
      <c r="AK1052" s="40"/>
    </row>
    <row r="1053">
      <c r="A1053" s="300"/>
      <c r="B1053" s="300"/>
      <c r="C1053" s="300"/>
      <c r="D1053" s="300"/>
      <c r="E1053" s="300"/>
      <c r="F1053" s="329"/>
      <c r="G1053" s="300"/>
      <c r="H1053" s="300"/>
      <c r="I1053" s="300"/>
      <c r="J1053" s="300"/>
      <c r="K1053" s="300"/>
      <c r="L1053" s="329"/>
      <c r="M1053" s="29" t="str">
        <f t="shared" si="1"/>
        <v/>
      </c>
      <c r="N1053" s="31" t="str">
        <f>IFERROR(__xludf.DUMMYFUNCTION("IF(Account!$F1053&lt;&gt;"""", VALUE(REGEXREPLACE($I1053, ""\,"", ""."")), """")"),"")</f>
        <v/>
      </c>
      <c r="O1053" s="33" t="str">
        <f>IF(Account!$F1053&lt;&gt;"", DATEVALUE(MID($A1053,4,3) &amp; LEFT($A1053,3) &amp; RIGHT($A1053,4)) + TIMEVALUE($B1053), "")</f>
        <v/>
      </c>
      <c r="P1053" s="34" t="str">
        <f>IF(Account!$F1053&lt;&gt;"", DATEVALUE(MID($C1053,4,3) &amp; LEFT($C1053,3) &amp; RIGHT($C1053,4)), "")</f>
        <v/>
      </c>
      <c r="Q1053" s="35" t="str">
        <f t="array" ref="Q1053">IF($R1053&lt;&gt;"",IFERROR(INDEX(Investment!$A:$A,MATCH($R1053,Investment!$H:$H,0))),)</f>
        <v/>
      </c>
      <c r="R1053" s="36" t="str">
        <f t="array" ref="R1053">IF(AND($Y1053="change",$H1053="EUR"),IF(AND($AA1053="Crédit",$O1053=$O1054),$R1054,IF(AND($AA1053="Débit",$O1053=$O1052),$R1052)),IF(OR(AND(OR($E1053&lt;&gt;"",$M1053=""),$N1053&lt;&gt;0),$A1053=""),IFERROR(INDEX(Investment!$H:$H,MATCH($E1053,Investment!$F:$F,0))),IFERROR(INDEX($R1054:$R1119,MATCH(SUBSTITUTE($I1053,"-","",1),$K1054:$K1119,0)),INDEX($R1054:$R1119,MATCH($K1053,$K1054:$K1119,0)))))</f>
        <v/>
      </c>
      <c r="S1053" s="35" t="str">
        <f t="shared" si="2"/>
        <v/>
      </c>
      <c r="T1053" s="37" t="str">
        <f t="shared" si="3"/>
        <v/>
      </c>
      <c r="U1053" s="38" t="str">
        <f t="shared" si="4"/>
        <v/>
      </c>
      <c r="V1053" s="31" t="str">
        <f t="shared" si="5"/>
        <v/>
      </c>
      <c r="W1053" s="39" t="str">
        <f>IFERROR(__xludf.DUMMYFUNCTION(" IF(Account!$F1053&lt;&gt;"""", SPLIT(Account!$F1053, "" ""), """")"),"")</f>
        <v/>
      </c>
      <c r="X1053" s="40"/>
      <c r="Y1053" s="40"/>
      <c r="Z1053" s="40"/>
      <c r="AA1053" s="40"/>
      <c r="AB1053" s="40"/>
      <c r="AC1053" s="40"/>
      <c r="AD1053" s="40"/>
      <c r="AE1053" s="40"/>
      <c r="AF1053" s="40"/>
      <c r="AG1053" s="40"/>
      <c r="AH1053" s="40"/>
      <c r="AI1053" s="40"/>
      <c r="AJ1053" s="40"/>
      <c r="AK1053" s="40"/>
    </row>
    <row r="1054">
      <c r="A1054" s="300"/>
      <c r="B1054" s="300"/>
      <c r="C1054" s="300"/>
      <c r="D1054" s="300"/>
      <c r="E1054" s="300"/>
      <c r="F1054" s="329"/>
      <c r="G1054" s="300"/>
      <c r="H1054" s="300"/>
      <c r="I1054" s="300"/>
      <c r="J1054" s="300"/>
      <c r="K1054" s="300"/>
      <c r="L1054" s="329"/>
      <c r="M1054" s="29" t="str">
        <f t="shared" si="1"/>
        <v/>
      </c>
      <c r="N1054" s="31" t="str">
        <f>IFERROR(__xludf.DUMMYFUNCTION("IF(Account!$F1054&lt;&gt;"""", VALUE(REGEXREPLACE($I1054, ""\,"", ""."")), """")"),"")</f>
        <v/>
      </c>
      <c r="O1054" s="33" t="str">
        <f>IF(Account!$F1054&lt;&gt;"", DATEVALUE(MID($A1054,4,3) &amp; LEFT($A1054,3) &amp; RIGHT($A1054,4)) + TIMEVALUE($B1054), "")</f>
        <v/>
      </c>
      <c r="P1054" s="34" t="str">
        <f>IF(Account!$F1054&lt;&gt;"", DATEVALUE(MID($C1054,4,3) &amp; LEFT($C1054,3) &amp; RIGHT($C1054,4)), "")</f>
        <v/>
      </c>
      <c r="Q1054" s="35" t="str">
        <f t="array" ref="Q1054">IF($R1054&lt;&gt;"",IFERROR(INDEX(Investment!$A:$A,MATCH($R1054,Investment!$H:$H,0))),)</f>
        <v/>
      </c>
      <c r="R1054" s="36" t="str">
        <f t="array" ref="R1054">IF(AND($Y1054="change",$H1054="EUR"),IF(AND($AA1054="Crédit",$O1054=$O1055),$R1055,IF(AND($AA1054="Débit",$O1054=$O1053),$R1053)),IF(OR(AND(OR($E1054&lt;&gt;"",$M1054=""),$N1054&lt;&gt;0),$A1054=""),IFERROR(INDEX(Investment!$H:$H,MATCH($E1054,Investment!$F:$F,0))),IFERROR(INDEX($R1055:$R1119,MATCH(SUBSTITUTE($I1054,"-","",1),$K1055:$K1119,0)),INDEX($R1055:$R1119,MATCH($K1054,$K1055:$K1119,0)))))</f>
        <v/>
      </c>
      <c r="S1054" s="35" t="str">
        <f t="shared" si="2"/>
        <v/>
      </c>
      <c r="T1054" s="37" t="str">
        <f t="shared" si="3"/>
        <v/>
      </c>
      <c r="U1054" s="38" t="str">
        <f t="shared" si="4"/>
        <v/>
      </c>
      <c r="V1054" s="31" t="str">
        <f t="shared" si="5"/>
        <v/>
      </c>
      <c r="W1054" s="39" t="str">
        <f>IFERROR(__xludf.DUMMYFUNCTION(" IF(Account!$F1054&lt;&gt;"""", SPLIT(Account!$F1054, "" ""), """")"),"")</f>
        <v/>
      </c>
      <c r="X1054" s="40"/>
      <c r="Y1054" s="40"/>
      <c r="Z1054" s="40"/>
      <c r="AA1054" s="40"/>
      <c r="AB1054" s="40"/>
      <c r="AC1054" s="40"/>
      <c r="AD1054" s="40"/>
      <c r="AE1054" s="40"/>
      <c r="AF1054" s="40"/>
      <c r="AG1054" s="40"/>
      <c r="AH1054" s="40"/>
      <c r="AI1054" s="40"/>
      <c r="AJ1054" s="40"/>
      <c r="AK1054" s="40"/>
    </row>
    <row r="1055">
      <c r="A1055" s="300"/>
      <c r="B1055" s="300"/>
      <c r="C1055" s="300"/>
      <c r="D1055" s="300"/>
      <c r="E1055" s="300"/>
      <c r="F1055" s="329"/>
      <c r="G1055" s="300"/>
      <c r="H1055" s="300"/>
      <c r="I1055" s="300"/>
      <c r="J1055" s="300"/>
      <c r="K1055" s="300"/>
      <c r="L1055" s="329"/>
      <c r="M1055" s="29" t="str">
        <f t="shared" si="1"/>
        <v/>
      </c>
      <c r="N1055" s="31" t="str">
        <f>IFERROR(__xludf.DUMMYFUNCTION("IF(Account!$F1055&lt;&gt;"""", VALUE(REGEXREPLACE($I1055, ""\,"", ""."")), """")"),"")</f>
        <v/>
      </c>
      <c r="O1055" s="33" t="str">
        <f>IF(Account!$F1055&lt;&gt;"", DATEVALUE(MID($A1055,4,3) &amp; LEFT($A1055,3) &amp; RIGHT($A1055,4)) + TIMEVALUE($B1055), "")</f>
        <v/>
      </c>
      <c r="P1055" s="34" t="str">
        <f>IF(Account!$F1055&lt;&gt;"", DATEVALUE(MID($C1055,4,3) &amp; LEFT($C1055,3) &amp; RIGHT($C1055,4)), "")</f>
        <v/>
      </c>
      <c r="Q1055" s="35" t="str">
        <f t="array" ref="Q1055">IF($R1055&lt;&gt;"",IFERROR(INDEX(Investment!$A:$A,MATCH($R1055,Investment!$H:$H,0))),)</f>
        <v/>
      </c>
      <c r="R1055" s="36" t="str">
        <f t="array" ref="R1055">IF(AND($Y1055="change",$H1055="EUR"),IF(AND($AA1055="Crédit",$O1055=$O1056),$R1056,IF(AND($AA1055="Débit",$O1055=$O1054),$R1054)),IF(OR(AND(OR($E1055&lt;&gt;"",$M1055=""),$N1055&lt;&gt;0),$A1055=""),IFERROR(INDEX(Investment!$H:$H,MATCH($E1055,Investment!$F:$F,0))),IFERROR(INDEX($R1056:$R1119,MATCH(SUBSTITUTE($I1055,"-","",1),$K1056:$K1119,0)),INDEX($R1056:$R1119,MATCH($K1055,$K1056:$K1119,0)))))</f>
        <v/>
      </c>
      <c r="S1055" s="35" t="str">
        <f t="shared" si="2"/>
        <v/>
      </c>
      <c r="T1055" s="37" t="str">
        <f t="shared" si="3"/>
        <v/>
      </c>
      <c r="U1055" s="38" t="str">
        <f t="shared" si="4"/>
        <v/>
      </c>
      <c r="V1055" s="31" t="str">
        <f t="shared" si="5"/>
        <v/>
      </c>
      <c r="W1055" s="39" t="str">
        <f>IFERROR(__xludf.DUMMYFUNCTION(" IF(Account!$F1055&lt;&gt;"""", SPLIT(Account!$F1055, "" ""), """")"),"")</f>
        <v/>
      </c>
      <c r="X1055" s="40"/>
      <c r="Y1055" s="40"/>
      <c r="Z1055" s="40"/>
      <c r="AA1055" s="40"/>
      <c r="AB1055" s="40"/>
      <c r="AC1055" s="40"/>
      <c r="AD1055" s="40"/>
      <c r="AE1055" s="40"/>
      <c r="AF1055" s="40"/>
      <c r="AG1055" s="40"/>
      <c r="AH1055" s="40"/>
      <c r="AI1055" s="40"/>
      <c r="AJ1055" s="40"/>
      <c r="AK1055" s="40"/>
    </row>
    <row r="1056">
      <c r="A1056" s="300"/>
      <c r="B1056" s="300"/>
      <c r="C1056" s="300"/>
      <c r="D1056" s="300"/>
      <c r="E1056" s="300"/>
      <c r="F1056" s="329"/>
      <c r="G1056" s="300"/>
      <c r="H1056" s="300"/>
      <c r="I1056" s="300"/>
      <c r="J1056" s="300"/>
      <c r="K1056" s="300"/>
      <c r="L1056" s="329"/>
      <c r="M1056" s="29" t="str">
        <f t="shared" si="1"/>
        <v/>
      </c>
      <c r="N1056" s="31" t="str">
        <f>IFERROR(__xludf.DUMMYFUNCTION("IF(Account!$F1056&lt;&gt;"""", VALUE(REGEXREPLACE($I1056, ""\,"", ""."")), """")"),"")</f>
        <v/>
      </c>
      <c r="O1056" s="33" t="str">
        <f>IF(Account!$F1056&lt;&gt;"", DATEVALUE(MID($A1056,4,3) &amp; LEFT($A1056,3) &amp; RIGHT($A1056,4)) + TIMEVALUE($B1056), "")</f>
        <v/>
      </c>
      <c r="P1056" s="34" t="str">
        <f>IF(Account!$F1056&lt;&gt;"", DATEVALUE(MID($C1056,4,3) &amp; LEFT($C1056,3) &amp; RIGHT($C1056,4)), "")</f>
        <v/>
      </c>
      <c r="Q1056" s="35" t="str">
        <f t="array" ref="Q1056">IF($R1056&lt;&gt;"",IFERROR(INDEX(Investment!$A:$A,MATCH($R1056,Investment!$H:$H,0))),)</f>
        <v/>
      </c>
      <c r="R1056" s="36" t="str">
        <f t="array" ref="R1056">IF(AND($Y1056="change",$H1056="EUR"),IF(AND($AA1056="Crédit",$O1056=$O1057),$R1057,IF(AND($AA1056="Débit",$O1056=$O1055),$R1055)),IF(OR(AND(OR($E1056&lt;&gt;"",$M1056=""),$N1056&lt;&gt;0),$A1056=""),IFERROR(INDEX(Investment!$H:$H,MATCH($E1056,Investment!$F:$F,0))),IFERROR(INDEX($R1057:$R1119,MATCH(SUBSTITUTE($I1056,"-","",1),$K1057:$K1119,0)),INDEX($R1057:$R1119,MATCH($K1056,$K1057:$K1119,0)))))</f>
        <v/>
      </c>
      <c r="S1056" s="35" t="str">
        <f t="shared" si="2"/>
        <v/>
      </c>
      <c r="T1056" s="37" t="str">
        <f t="shared" si="3"/>
        <v/>
      </c>
      <c r="U1056" s="38" t="str">
        <f t="shared" si="4"/>
        <v/>
      </c>
      <c r="V1056" s="31" t="str">
        <f t="shared" si="5"/>
        <v/>
      </c>
      <c r="W1056" s="39" t="str">
        <f>IFERROR(__xludf.DUMMYFUNCTION(" IF(Account!$F1056&lt;&gt;"""", SPLIT(Account!$F1056, "" ""), """")"),"")</f>
        <v/>
      </c>
      <c r="X1056" s="40"/>
      <c r="Y1056" s="40"/>
      <c r="Z1056" s="40"/>
      <c r="AA1056" s="40"/>
      <c r="AB1056" s="40"/>
      <c r="AC1056" s="40"/>
      <c r="AD1056" s="40"/>
      <c r="AE1056" s="40"/>
      <c r="AF1056" s="40"/>
      <c r="AG1056" s="40"/>
      <c r="AH1056" s="40"/>
      <c r="AI1056" s="40"/>
      <c r="AJ1056" s="40"/>
      <c r="AK1056" s="40"/>
    </row>
    <row r="1057">
      <c r="A1057" s="300"/>
      <c r="B1057" s="300"/>
      <c r="C1057" s="300"/>
      <c r="D1057" s="300"/>
      <c r="E1057" s="300"/>
      <c r="F1057" s="329"/>
      <c r="G1057" s="300"/>
      <c r="H1057" s="300"/>
      <c r="I1057" s="300"/>
      <c r="J1057" s="300"/>
      <c r="K1057" s="300"/>
      <c r="L1057" s="329"/>
      <c r="M1057" s="29" t="str">
        <f t="shared" si="1"/>
        <v/>
      </c>
      <c r="N1057" s="31" t="str">
        <f>IFERROR(__xludf.DUMMYFUNCTION("IF(Account!$F1057&lt;&gt;"""", VALUE(REGEXREPLACE($I1057, ""\,"", ""."")), """")"),"")</f>
        <v/>
      </c>
      <c r="O1057" s="33" t="str">
        <f>IF(Account!$F1057&lt;&gt;"", DATEVALUE(MID($A1057,4,3) &amp; LEFT($A1057,3) &amp; RIGHT($A1057,4)) + TIMEVALUE($B1057), "")</f>
        <v/>
      </c>
      <c r="P1057" s="34" t="str">
        <f>IF(Account!$F1057&lt;&gt;"", DATEVALUE(MID($C1057,4,3) &amp; LEFT($C1057,3) &amp; RIGHT($C1057,4)), "")</f>
        <v/>
      </c>
      <c r="Q1057" s="35" t="str">
        <f t="array" ref="Q1057">IF($R1057&lt;&gt;"",IFERROR(INDEX(Investment!$A:$A,MATCH($R1057,Investment!$H:$H,0))),)</f>
        <v/>
      </c>
      <c r="R1057" s="36" t="str">
        <f t="array" ref="R1057">IF(AND($Y1057="change",$H1057="EUR"),IF(AND($AA1057="Crédit",$O1057=$O1058),$R1058,IF(AND($AA1057="Débit",$O1057=$O1056),$R1056)),IF(OR(AND(OR($E1057&lt;&gt;"",$M1057=""),$N1057&lt;&gt;0),$A1057=""),IFERROR(INDEX(Investment!$H:$H,MATCH($E1057,Investment!$F:$F,0))),IFERROR(INDEX($R1058:$R1119,MATCH(SUBSTITUTE($I1057,"-","",1),$K1058:$K1119,0)),INDEX($R1058:$R1119,MATCH($K1057,$K1058:$K1119,0)))))</f>
        <v/>
      </c>
      <c r="S1057" s="35" t="str">
        <f t="shared" si="2"/>
        <v/>
      </c>
      <c r="T1057" s="37" t="str">
        <f t="shared" si="3"/>
        <v/>
      </c>
      <c r="U1057" s="38" t="str">
        <f t="shared" si="4"/>
        <v/>
      </c>
      <c r="V1057" s="31" t="str">
        <f t="shared" si="5"/>
        <v/>
      </c>
      <c r="W1057" s="39" t="str">
        <f>IFERROR(__xludf.DUMMYFUNCTION(" IF(Account!$F1057&lt;&gt;"""", SPLIT(Account!$F1057, "" ""), """")"),"")</f>
        <v/>
      </c>
      <c r="X1057" s="40"/>
      <c r="Y1057" s="40"/>
      <c r="Z1057" s="40"/>
      <c r="AA1057" s="40"/>
      <c r="AB1057" s="40"/>
      <c r="AC1057" s="40"/>
      <c r="AD1057" s="40"/>
      <c r="AE1057" s="40"/>
      <c r="AF1057" s="40"/>
      <c r="AG1057" s="40"/>
      <c r="AH1057" s="40"/>
      <c r="AI1057" s="40"/>
      <c r="AJ1057" s="40"/>
      <c r="AK1057" s="40"/>
    </row>
    <row r="1058">
      <c r="A1058" s="300"/>
      <c r="B1058" s="300"/>
      <c r="C1058" s="300"/>
      <c r="D1058" s="300"/>
      <c r="E1058" s="300"/>
      <c r="F1058" s="329"/>
      <c r="G1058" s="300"/>
      <c r="H1058" s="300"/>
      <c r="I1058" s="300"/>
      <c r="J1058" s="300"/>
      <c r="K1058" s="300"/>
      <c r="L1058" s="329"/>
      <c r="M1058" s="29" t="str">
        <f t="shared" si="1"/>
        <v/>
      </c>
      <c r="N1058" s="31" t="str">
        <f>IFERROR(__xludf.DUMMYFUNCTION("IF(Account!$F1058&lt;&gt;"""", VALUE(REGEXREPLACE($I1058, ""\,"", ""."")), """")"),"")</f>
        <v/>
      </c>
      <c r="O1058" s="33" t="str">
        <f>IF(Account!$F1058&lt;&gt;"", DATEVALUE(MID($A1058,4,3) &amp; LEFT($A1058,3) &amp; RIGHT($A1058,4)) + TIMEVALUE($B1058), "")</f>
        <v/>
      </c>
      <c r="P1058" s="34" t="str">
        <f>IF(Account!$F1058&lt;&gt;"", DATEVALUE(MID($C1058,4,3) &amp; LEFT($C1058,3) &amp; RIGHT($C1058,4)), "")</f>
        <v/>
      </c>
      <c r="Q1058" s="35" t="str">
        <f t="array" ref="Q1058">IF($R1058&lt;&gt;"",IFERROR(INDEX(Investment!$A:$A,MATCH($R1058,Investment!$H:$H,0))),)</f>
        <v/>
      </c>
      <c r="R1058" s="36" t="str">
        <f t="array" ref="R1058">IF(AND($Y1058="change",$H1058="EUR"),IF(AND($AA1058="Crédit",$O1058=$O1059),$R1059,IF(AND($AA1058="Débit",$O1058=$O1057),$R1057)),IF(OR(AND(OR($E1058&lt;&gt;"",$M1058=""),$N1058&lt;&gt;0),$A1058=""),IFERROR(INDEX(Investment!$H:$H,MATCH($E1058,Investment!$F:$F,0))),IFERROR(INDEX($R1059:$R1119,MATCH(SUBSTITUTE($I1058,"-","",1),$K1059:$K1119,0)),INDEX($R1059:$R1119,MATCH($K1058,$K1059:$K1119,0)))))</f>
        <v/>
      </c>
      <c r="S1058" s="35" t="str">
        <f t="shared" si="2"/>
        <v/>
      </c>
      <c r="T1058" s="37" t="str">
        <f t="shared" si="3"/>
        <v/>
      </c>
      <c r="U1058" s="38" t="str">
        <f t="shared" si="4"/>
        <v/>
      </c>
      <c r="V1058" s="31" t="str">
        <f t="shared" si="5"/>
        <v/>
      </c>
      <c r="W1058" s="39" t="str">
        <f>IFERROR(__xludf.DUMMYFUNCTION(" IF(Account!$F1058&lt;&gt;"""", SPLIT(Account!$F1058, "" ""), """")"),"")</f>
        <v/>
      </c>
      <c r="X1058" s="40"/>
      <c r="Y1058" s="40"/>
      <c r="Z1058" s="40"/>
      <c r="AA1058" s="40"/>
      <c r="AB1058" s="40"/>
      <c r="AC1058" s="40"/>
      <c r="AD1058" s="40"/>
      <c r="AE1058" s="40"/>
      <c r="AF1058" s="40"/>
      <c r="AG1058" s="40"/>
      <c r="AH1058" s="40"/>
      <c r="AI1058" s="40"/>
      <c r="AJ1058" s="40"/>
      <c r="AK1058" s="40"/>
    </row>
    <row r="1059">
      <c r="A1059" s="300"/>
      <c r="B1059" s="300"/>
      <c r="C1059" s="300"/>
      <c r="D1059" s="300"/>
      <c r="E1059" s="300"/>
      <c r="F1059" s="329"/>
      <c r="G1059" s="300"/>
      <c r="H1059" s="300"/>
      <c r="I1059" s="300"/>
      <c r="J1059" s="300"/>
      <c r="K1059" s="300"/>
      <c r="L1059" s="329"/>
      <c r="M1059" s="29" t="str">
        <f t="shared" si="1"/>
        <v/>
      </c>
      <c r="N1059" s="31" t="str">
        <f>IFERROR(__xludf.DUMMYFUNCTION("IF(Account!$F1059&lt;&gt;"""", VALUE(REGEXREPLACE($I1059, ""\,"", ""."")), """")"),"")</f>
        <v/>
      </c>
      <c r="O1059" s="33" t="str">
        <f>IF(Account!$F1059&lt;&gt;"", DATEVALUE(MID($A1059,4,3) &amp; LEFT($A1059,3) &amp; RIGHT($A1059,4)) + TIMEVALUE($B1059), "")</f>
        <v/>
      </c>
      <c r="P1059" s="34" t="str">
        <f>IF(Account!$F1059&lt;&gt;"", DATEVALUE(MID($C1059,4,3) &amp; LEFT($C1059,3) &amp; RIGHT($C1059,4)), "")</f>
        <v/>
      </c>
      <c r="Q1059" s="35" t="str">
        <f t="array" ref="Q1059">IF($R1059&lt;&gt;"",IFERROR(INDEX(Investment!$A:$A,MATCH($R1059,Investment!$H:$H,0))),)</f>
        <v/>
      </c>
      <c r="R1059" s="36" t="str">
        <f t="array" ref="R1059">IF(AND($Y1059="change",$H1059="EUR"),IF(AND($AA1059="Crédit",$O1059=$O1060),$R1060,IF(AND($AA1059="Débit",$O1059=$O1058),$R1058)),IF(OR(AND(OR($E1059&lt;&gt;"",$M1059=""),$N1059&lt;&gt;0),$A1059=""),IFERROR(INDEX(Investment!$H:$H,MATCH($E1059,Investment!$F:$F,0))),IFERROR(INDEX($R1060:$R1119,MATCH(SUBSTITUTE($I1059,"-","",1),$K1060:$K1119,0)),INDEX($R1060:$R1119,MATCH($K1059,$K1060:$K1119,0)))))</f>
        <v/>
      </c>
      <c r="S1059" s="35" t="str">
        <f t="shared" si="2"/>
        <v/>
      </c>
      <c r="T1059" s="37" t="str">
        <f t="shared" si="3"/>
        <v/>
      </c>
      <c r="U1059" s="38" t="str">
        <f t="shared" si="4"/>
        <v/>
      </c>
      <c r="V1059" s="31" t="str">
        <f t="shared" si="5"/>
        <v/>
      </c>
      <c r="W1059" s="39" t="str">
        <f>IFERROR(__xludf.DUMMYFUNCTION(" IF(Account!$F1059&lt;&gt;"""", SPLIT(Account!$F1059, "" ""), """")"),"")</f>
        <v/>
      </c>
      <c r="X1059" s="40"/>
      <c r="Y1059" s="40"/>
      <c r="Z1059" s="40"/>
      <c r="AA1059" s="40"/>
      <c r="AB1059" s="40"/>
      <c r="AC1059" s="40"/>
      <c r="AD1059" s="40"/>
      <c r="AE1059" s="40"/>
      <c r="AF1059" s="40"/>
      <c r="AG1059" s="40"/>
      <c r="AH1059" s="40"/>
      <c r="AI1059" s="40"/>
      <c r="AJ1059" s="40"/>
      <c r="AK1059" s="40"/>
    </row>
    <row r="1060">
      <c r="A1060" s="300"/>
      <c r="B1060" s="300"/>
      <c r="C1060" s="300"/>
      <c r="D1060" s="300"/>
      <c r="E1060" s="300"/>
      <c r="F1060" s="329"/>
      <c r="G1060" s="300"/>
      <c r="H1060" s="300"/>
      <c r="I1060" s="300"/>
      <c r="J1060" s="300"/>
      <c r="K1060" s="300"/>
      <c r="L1060" s="329"/>
      <c r="M1060" s="29" t="str">
        <f t="shared" si="1"/>
        <v/>
      </c>
      <c r="N1060" s="31" t="str">
        <f>IFERROR(__xludf.DUMMYFUNCTION("IF(Account!$F1060&lt;&gt;"""", VALUE(REGEXREPLACE($I1060, ""\,"", ""."")), """")"),"")</f>
        <v/>
      </c>
      <c r="O1060" s="33" t="str">
        <f>IF(Account!$F1060&lt;&gt;"", DATEVALUE(MID($A1060,4,3) &amp; LEFT($A1060,3) &amp; RIGHT($A1060,4)) + TIMEVALUE($B1060), "")</f>
        <v/>
      </c>
      <c r="P1060" s="34" t="str">
        <f>IF(Account!$F1060&lt;&gt;"", DATEVALUE(MID($C1060,4,3) &amp; LEFT($C1060,3) &amp; RIGHT($C1060,4)), "")</f>
        <v/>
      </c>
      <c r="Q1060" s="35" t="str">
        <f t="array" ref="Q1060">IF($R1060&lt;&gt;"",IFERROR(INDEX(Investment!$A:$A,MATCH($R1060,Investment!$H:$H,0))),)</f>
        <v/>
      </c>
      <c r="R1060" s="36" t="str">
        <f t="array" ref="R1060">IF(AND($Y1060="change",$H1060="EUR"),IF(AND($AA1060="Crédit",$O1060=$O1061),$R1061,IF(AND($AA1060="Débit",$O1060=$O1059),$R1059)),IF(OR(AND(OR($E1060&lt;&gt;"",$M1060=""),$N1060&lt;&gt;0),$A1060=""),IFERROR(INDEX(Investment!$H:$H,MATCH($E1060,Investment!$F:$F,0))),IFERROR(INDEX($R1061:$R1119,MATCH(SUBSTITUTE($I1060,"-","",1),$K1061:$K1119,0)),INDEX($R1061:$R1119,MATCH($K1060,$K1061:$K1119,0)))))</f>
        <v/>
      </c>
      <c r="S1060" s="35" t="str">
        <f t="shared" si="2"/>
        <v/>
      </c>
      <c r="T1060" s="37" t="str">
        <f t="shared" si="3"/>
        <v/>
      </c>
      <c r="U1060" s="38" t="str">
        <f t="shared" si="4"/>
        <v/>
      </c>
      <c r="V1060" s="31" t="str">
        <f t="shared" si="5"/>
        <v/>
      </c>
      <c r="W1060" s="39" t="str">
        <f>IFERROR(__xludf.DUMMYFUNCTION(" IF(Account!$F1060&lt;&gt;"""", SPLIT(Account!$F1060, "" ""), """")"),"")</f>
        <v/>
      </c>
      <c r="X1060" s="40"/>
      <c r="Y1060" s="40"/>
      <c r="Z1060" s="40"/>
      <c r="AA1060" s="40"/>
      <c r="AB1060" s="40"/>
      <c r="AC1060" s="40"/>
      <c r="AD1060" s="40"/>
      <c r="AE1060" s="40"/>
      <c r="AF1060" s="40"/>
      <c r="AG1060" s="40"/>
      <c r="AH1060" s="40"/>
      <c r="AI1060" s="40"/>
      <c r="AJ1060" s="40"/>
      <c r="AK1060" s="40"/>
    </row>
    <row r="1061">
      <c r="A1061" s="300"/>
      <c r="B1061" s="300"/>
      <c r="C1061" s="300"/>
      <c r="D1061" s="300"/>
      <c r="E1061" s="300"/>
      <c r="F1061" s="329"/>
      <c r="G1061" s="300"/>
      <c r="H1061" s="300"/>
      <c r="I1061" s="300"/>
      <c r="J1061" s="300"/>
      <c r="K1061" s="300"/>
      <c r="L1061" s="329"/>
      <c r="M1061" s="29" t="str">
        <f t="shared" si="1"/>
        <v/>
      </c>
      <c r="N1061" s="31" t="str">
        <f>IFERROR(__xludf.DUMMYFUNCTION("IF(Account!$F1061&lt;&gt;"""", VALUE(REGEXREPLACE($I1061, ""\,"", ""."")), """")"),"")</f>
        <v/>
      </c>
      <c r="O1061" s="33" t="str">
        <f>IF(Account!$F1061&lt;&gt;"", DATEVALUE(MID($A1061,4,3) &amp; LEFT($A1061,3) &amp; RIGHT($A1061,4)) + TIMEVALUE($B1061), "")</f>
        <v/>
      </c>
      <c r="P1061" s="34" t="str">
        <f>IF(Account!$F1061&lt;&gt;"", DATEVALUE(MID($C1061,4,3) &amp; LEFT($C1061,3) &amp; RIGHT($C1061,4)), "")</f>
        <v/>
      </c>
      <c r="Q1061" s="35" t="str">
        <f t="array" ref="Q1061">IF($R1061&lt;&gt;"",IFERROR(INDEX(Investment!$A:$A,MATCH($R1061,Investment!$H:$H,0))),)</f>
        <v/>
      </c>
      <c r="R1061" s="36" t="str">
        <f t="array" ref="R1061">IF(AND($Y1061="change",$H1061="EUR"),IF(AND($AA1061="Crédit",$O1061=$O1062),$R1062,IF(AND($AA1061="Débit",$O1061=$O1060),$R1060)),IF(OR(AND(OR($E1061&lt;&gt;"",$M1061=""),$N1061&lt;&gt;0),$A1061=""),IFERROR(INDEX(Investment!$H:$H,MATCH($E1061,Investment!$F:$F,0))),IFERROR(INDEX($R1062:$R1119,MATCH(SUBSTITUTE($I1061,"-","",1),$K1062:$K1119,0)),INDEX($R1062:$R1119,MATCH($K1061,$K1062:$K1119,0)))))</f>
        <v/>
      </c>
      <c r="S1061" s="35" t="str">
        <f t="shared" si="2"/>
        <v/>
      </c>
      <c r="T1061" s="37" t="str">
        <f t="shared" si="3"/>
        <v/>
      </c>
      <c r="U1061" s="38" t="str">
        <f t="shared" si="4"/>
        <v/>
      </c>
      <c r="V1061" s="31" t="str">
        <f t="shared" si="5"/>
        <v/>
      </c>
      <c r="W1061" s="39" t="str">
        <f>IFERROR(__xludf.DUMMYFUNCTION(" IF(Account!$F1061&lt;&gt;"""", SPLIT(Account!$F1061, "" ""), """")"),"")</f>
        <v/>
      </c>
      <c r="X1061" s="40"/>
      <c r="Y1061" s="40"/>
      <c r="Z1061" s="40"/>
      <c r="AA1061" s="40"/>
      <c r="AB1061" s="40"/>
      <c r="AC1061" s="40"/>
      <c r="AD1061" s="40"/>
      <c r="AE1061" s="40"/>
      <c r="AF1061" s="40"/>
      <c r="AG1061" s="40"/>
      <c r="AH1061" s="40"/>
      <c r="AI1061" s="40"/>
      <c r="AJ1061" s="40"/>
      <c r="AK1061" s="40"/>
    </row>
    <row r="1062">
      <c r="A1062" s="300"/>
      <c r="B1062" s="300"/>
      <c r="C1062" s="300"/>
      <c r="D1062" s="300"/>
      <c r="E1062" s="300"/>
      <c r="F1062" s="329"/>
      <c r="G1062" s="300"/>
      <c r="H1062" s="300"/>
      <c r="I1062" s="300"/>
      <c r="J1062" s="300"/>
      <c r="K1062" s="300"/>
      <c r="L1062" s="329"/>
      <c r="M1062" s="29" t="str">
        <f t="shared" si="1"/>
        <v/>
      </c>
      <c r="N1062" s="31" t="str">
        <f>IFERROR(__xludf.DUMMYFUNCTION("IF(Account!$F1062&lt;&gt;"""", VALUE(REGEXREPLACE($I1062, ""\,"", ""."")), """")"),"")</f>
        <v/>
      </c>
      <c r="O1062" s="33" t="str">
        <f>IF(Account!$F1062&lt;&gt;"", DATEVALUE(MID($A1062,4,3) &amp; LEFT($A1062,3) &amp; RIGHT($A1062,4)) + TIMEVALUE($B1062), "")</f>
        <v/>
      </c>
      <c r="P1062" s="34" t="str">
        <f>IF(Account!$F1062&lt;&gt;"", DATEVALUE(MID($C1062,4,3) &amp; LEFT($C1062,3) &amp; RIGHT($C1062,4)), "")</f>
        <v/>
      </c>
      <c r="Q1062" s="35" t="str">
        <f t="array" ref="Q1062">IF($R1062&lt;&gt;"",IFERROR(INDEX(Investment!$A:$A,MATCH($R1062,Investment!$H:$H,0))),)</f>
        <v/>
      </c>
      <c r="R1062" s="36" t="str">
        <f t="array" ref="R1062">IF(AND($Y1062="change",$H1062="EUR"),IF(AND($AA1062="Crédit",$O1062=$O1063),$R1063,IF(AND($AA1062="Débit",$O1062=$O1061),$R1061)),IF(OR(AND(OR($E1062&lt;&gt;"",$M1062=""),$N1062&lt;&gt;0),$A1062=""),IFERROR(INDEX(Investment!$H:$H,MATCH($E1062,Investment!$F:$F,0))),IFERROR(INDEX($R1063:$R1119,MATCH(SUBSTITUTE($I1062,"-","",1),$K1063:$K1119,0)),INDEX($R1063:$R1119,MATCH($K1062,$K1063:$K1119,0)))))</f>
        <v/>
      </c>
      <c r="S1062" s="35" t="str">
        <f t="shared" si="2"/>
        <v/>
      </c>
      <c r="T1062" s="37" t="str">
        <f t="shared" si="3"/>
        <v/>
      </c>
      <c r="U1062" s="38" t="str">
        <f t="shared" si="4"/>
        <v/>
      </c>
      <c r="V1062" s="31" t="str">
        <f t="shared" si="5"/>
        <v/>
      </c>
      <c r="W1062" s="39" t="str">
        <f>IFERROR(__xludf.DUMMYFUNCTION(" IF(Account!$F1062&lt;&gt;"""", SPLIT(Account!$F1062, "" ""), """")"),"")</f>
        <v/>
      </c>
      <c r="X1062" s="40"/>
      <c r="Y1062" s="40"/>
      <c r="Z1062" s="40"/>
      <c r="AA1062" s="40"/>
      <c r="AB1062" s="40"/>
      <c r="AC1062" s="40"/>
      <c r="AD1062" s="40"/>
      <c r="AE1062" s="40"/>
      <c r="AF1062" s="40"/>
      <c r="AG1062" s="40"/>
      <c r="AH1062" s="40"/>
      <c r="AI1062" s="40"/>
      <c r="AJ1062" s="40"/>
      <c r="AK1062" s="40"/>
    </row>
    <row r="1063">
      <c r="A1063" s="300"/>
      <c r="B1063" s="300"/>
      <c r="C1063" s="300"/>
      <c r="D1063" s="300"/>
      <c r="E1063" s="300"/>
      <c r="F1063" s="329"/>
      <c r="G1063" s="300"/>
      <c r="H1063" s="300"/>
      <c r="I1063" s="300"/>
      <c r="J1063" s="300"/>
      <c r="K1063" s="300"/>
      <c r="L1063" s="329"/>
      <c r="M1063" s="29" t="str">
        <f t="shared" si="1"/>
        <v/>
      </c>
      <c r="N1063" s="31" t="str">
        <f>IFERROR(__xludf.DUMMYFUNCTION("IF(Account!$F1063&lt;&gt;"""", VALUE(REGEXREPLACE($I1063, ""\,"", ""."")), """")"),"")</f>
        <v/>
      </c>
      <c r="O1063" s="33" t="str">
        <f>IF(Account!$F1063&lt;&gt;"", DATEVALUE(MID($A1063,4,3) &amp; LEFT($A1063,3) &amp; RIGHT($A1063,4)) + TIMEVALUE($B1063), "")</f>
        <v/>
      </c>
      <c r="P1063" s="34" t="str">
        <f>IF(Account!$F1063&lt;&gt;"", DATEVALUE(MID($C1063,4,3) &amp; LEFT($C1063,3) &amp; RIGHT($C1063,4)), "")</f>
        <v/>
      </c>
      <c r="Q1063" s="35" t="str">
        <f t="array" ref="Q1063">IF($R1063&lt;&gt;"",IFERROR(INDEX(Investment!$A:$A,MATCH($R1063,Investment!$H:$H,0))),)</f>
        <v/>
      </c>
      <c r="R1063" s="36" t="str">
        <f t="array" ref="R1063">IF(AND($Y1063="change",$H1063="EUR"),IF(AND($AA1063="Crédit",$O1063=$O1064),$R1064,IF(AND($AA1063="Débit",$O1063=$O1062),$R1062)),IF(OR(AND(OR($E1063&lt;&gt;"",$M1063=""),$N1063&lt;&gt;0),$A1063=""),IFERROR(INDEX(Investment!$H:$H,MATCH($E1063,Investment!$F:$F,0))),IFERROR(INDEX($R1064:$R1119,MATCH(SUBSTITUTE($I1063,"-","",1),$K1064:$K1119,0)),INDEX($R1064:$R1119,MATCH($K1063,$K1064:$K1119,0)))))</f>
        <v/>
      </c>
      <c r="S1063" s="35" t="str">
        <f t="shared" si="2"/>
        <v/>
      </c>
      <c r="T1063" s="37" t="str">
        <f t="shared" si="3"/>
        <v/>
      </c>
      <c r="U1063" s="38" t="str">
        <f t="shared" si="4"/>
        <v/>
      </c>
      <c r="V1063" s="31" t="str">
        <f t="shared" si="5"/>
        <v/>
      </c>
      <c r="W1063" s="39" t="str">
        <f>IFERROR(__xludf.DUMMYFUNCTION(" IF(Account!$F1063&lt;&gt;"""", SPLIT(Account!$F1063, "" ""), """")"),"")</f>
        <v/>
      </c>
      <c r="X1063" s="40"/>
      <c r="Y1063" s="40"/>
      <c r="Z1063" s="40"/>
      <c r="AA1063" s="40"/>
      <c r="AB1063" s="40"/>
      <c r="AC1063" s="40"/>
      <c r="AD1063" s="40"/>
      <c r="AE1063" s="40"/>
      <c r="AF1063" s="40"/>
      <c r="AG1063" s="40"/>
      <c r="AH1063" s="40"/>
      <c r="AI1063" s="40"/>
      <c r="AJ1063" s="40"/>
      <c r="AK1063" s="40"/>
    </row>
    <row r="1064">
      <c r="A1064" s="300"/>
      <c r="B1064" s="300"/>
      <c r="C1064" s="300"/>
      <c r="D1064" s="300"/>
      <c r="E1064" s="300"/>
      <c r="F1064" s="329"/>
      <c r="G1064" s="300"/>
      <c r="H1064" s="300"/>
      <c r="I1064" s="300"/>
      <c r="J1064" s="300"/>
      <c r="K1064" s="300"/>
      <c r="L1064" s="329"/>
      <c r="M1064" s="29" t="str">
        <f t="shared" si="1"/>
        <v/>
      </c>
      <c r="N1064" s="31" t="str">
        <f>IFERROR(__xludf.DUMMYFUNCTION("IF(Account!$F1064&lt;&gt;"""", VALUE(REGEXREPLACE($I1064, ""\,"", ""."")), """")"),"")</f>
        <v/>
      </c>
      <c r="O1064" s="33" t="str">
        <f>IF(Account!$F1064&lt;&gt;"", DATEVALUE(MID($A1064,4,3) &amp; LEFT($A1064,3) &amp; RIGHT($A1064,4)) + TIMEVALUE($B1064), "")</f>
        <v/>
      </c>
      <c r="P1064" s="34" t="str">
        <f>IF(Account!$F1064&lt;&gt;"", DATEVALUE(MID($C1064,4,3) &amp; LEFT($C1064,3) &amp; RIGHT($C1064,4)), "")</f>
        <v/>
      </c>
      <c r="Q1064" s="35" t="str">
        <f t="array" ref="Q1064">IF($R1064&lt;&gt;"",IFERROR(INDEX(Investment!$A:$A,MATCH($R1064,Investment!$H:$H,0))),)</f>
        <v/>
      </c>
      <c r="R1064" s="36" t="str">
        <f t="array" ref="R1064">IF(AND($Y1064="change",$H1064="EUR"),IF(AND($AA1064="Crédit",$O1064=$O1065),$R1065,IF(AND($AA1064="Débit",$O1064=$O1063),$R1063)),IF(OR(AND(OR($E1064&lt;&gt;"",$M1064=""),$N1064&lt;&gt;0),$A1064=""),IFERROR(INDEX(Investment!$H:$H,MATCH($E1064,Investment!$F:$F,0))),IFERROR(INDEX($R1065:$R1119,MATCH(SUBSTITUTE($I1064,"-","",1),$K1065:$K1119,0)),INDEX($R1065:$R1119,MATCH($K1064,$K1065:$K1119,0)))))</f>
        <v/>
      </c>
      <c r="S1064" s="35" t="str">
        <f t="shared" si="2"/>
        <v/>
      </c>
      <c r="T1064" s="37" t="str">
        <f t="shared" si="3"/>
        <v/>
      </c>
      <c r="U1064" s="38" t="str">
        <f t="shared" si="4"/>
        <v/>
      </c>
      <c r="V1064" s="31" t="str">
        <f t="shared" si="5"/>
        <v/>
      </c>
      <c r="W1064" s="39" t="str">
        <f>IFERROR(__xludf.DUMMYFUNCTION(" IF(Account!$F1064&lt;&gt;"""", SPLIT(Account!$F1064, "" ""), """")"),"")</f>
        <v/>
      </c>
      <c r="X1064" s="40"/>
      <c r="Y1064" s="40"/>
      <c r="Z1064" s="40"/>
      <c r="AA1064" s="40"/>
      <c r="AB1064" s="40"/>
      <c r="AC1064" s="40"/>
      <c r="AD1064" s="40"/>
      <c r="AE1064" s="40"/>
      <c r="AF1064" s="40"/>
      <c r="AG1064" s="40"/>
      <c r="AH1064" s="40"/>
      <c r="AI1064" s="40"/>
      <c r="AJ1064" s="40"/>
      <c r="AK1064" s="40"/>
    </row>
    <row r="1065">
      <c r="A1065" s="300"/>
      <c r="B1065" s="300"/>
      <c r="C1065" s="300"/>
      <c r="D1065" s="300"/>
      <c r="E1065" s="300"/>
      <c r="F1065" s="329"/>
      <c r="G1065" s="300"/>
      <c r="H1065" s="300"/>
      <c r="I1065" s="300"/>
      <c r="J1065" s="300"/>
      <c r="K1065" s="300"/>
      <c r="L1065" s="329"/>
      <c r="M1065" s="29" t="str">
        <f t="shared" si="1"/>
        <v/>
      </c>
      <c r="N1065" s="31" t="str">
        <f>IFERROR(__xludf.DUMMYFUNCTION("IF(Account!$F1065&lt;&gt;"""", VALUE(REGEXREPLACE($I1065, ""\,"", ""."")), """")"),"")</f>
        <v/>
      </c>
      <c r="O1065" s="33" t="str">
        <f>IF(Account!$F1065&lt;&gt;"", DATEVALUE(MID($A1065,4,3) &amp; LEFT($A1065,3) &amp; RIGHT($A1065,4)) + TIMEVALUE($B1065), "")</f>
        <v/>
      </c>
      <c r="P1065" s="34" t="str">
        <f>IF(Account!$F1065&lt;&gt;"", DATEVALUE(MID($C1065,4,3) &amp; LEFT($C1065,3) &amp; RIGHT($C1065,4)), "")</f>
        <v/>
      </c>
      <c r="Q1065" s="35" t="str">
        <f t="array" ref="Q1065">IF($R1065&lt;&gt;"",IFERROR(INDEX(Investment!$A:$A,MATCH($R1065,Investment!$H:$H,0))),)</f>
        <v/>
      </c>
      <c r="R1065" s="36" t="str">
        <f t="array" ref="R1065">IF(AND($Y1065="change",$H1065="EUR"),IF(AND($AA1065="Crédit",$O1065=$O1066),$R1066,IF(AND($AA1065="Débit",$O1065=$O1064),$R1064)),IF(OR(AND(OR($E1065&lt;&gt;"",$M1065=""),$N1065&lt;&gt;0),$A1065=""),IFERROR(INDEX(Investment!$H:$H,MATCH($E1065,Investment!$F:$F,0))),IFERROR(INDEX($R1066:$R1119,MATCH(SUBSTITUTE($I1065,"-","",1),$K1066:$K1119,0)),INDEX($R1066:$R1119,MATCH($K1065,$K1066:$K1119,0)))))</f>
        <v/>
      </c>
      <c r="S1065" s="35" t="str">
        <f t="shared" si="2"/>
        <v/>
      </c>
      <c r="T1065" s="37" t="str">
        <f t="shared" si="3"/>
        <v/>
      </c>
      <c r="U1065" s="38" t="str">
        <f t="shared" si="4"/>
        <v/>
      </c>
      <c r="V1065" s="31" t="str">
        <f t="shared" si="5"/>
        <v/>
      </c>
      <c r="W1065" s="39" t="str">
        <f>IFERROR(__xludf.DUMMYFUNCTION(" IF(Account!$F1065&lt;&gt;"""", SPLIT(Account!$F1065, "" ""), """")"),"")</f>
        <v/>
      </c>
      <c r="X1065" s="40"/>
      <c r="Y1065" s="40"/>
      <c r="Z1065" s="40"/>
      <c r="AA1065" s="40"/>
      <c r="AB1065" s="40"/>
      <c r="AC1065" s="40"/>
      <c r="AD1065" s="40"/>
      <c r="AE1065" s="40"/>
      <c r="AF1065" s="40"/>
      <c r="AG1065" s="40"/>
      <c r="AH1065" s="40"/>
      <c r="AI1065" s="40"/>
      <c r="AJ1065" s="40"/>
      <c r="AK1065" s="40"/>
    </row>
    <row r="1066">
      <c r="A1066" s="300"/>
      <c r="B1066" s="300"/>
      <c r="C1066" s="300"/>
      <c r="D1066" s="300"/>
      <c r="E1066" s="300"/>
      <c r="F1066" s="329"/>
      <c r="G1066" s="300"/>
      <c r="H1066" s="300"/>
      <c r="I1066" s="300"/>
      <c r="J1066" s="300"/>
      <c r="K1066" s="300"/>
      <c r="L1066" s="329"/>
      <c r="M1066" s="29" t="str">
        <f t="shared" si="1"/>
        <v/>
      </c>
      <c r="N1066" s="31" t="str">
        <f>IFERROR(__xludf.DUMMYFUNCTION("IF(Account!$F1066&lt;&gt;"""", VALUE(REGEXREPLACE($I1066, ""\,"", ""."")), """")"),"")</f>
        <v/>
      </c>
      <c r="O1066" s="33" t="str">
        <f>IF(Account!$F1066&lt;&gt;"", DATEVALUE(MID($A1066,4,3) &amp; LEFT($A1066,3) &amp; RIGHT($A1066,4)) + TIMEVALUE($B1066), "")</f>
        <v/>
      </c>
      <c r="P1066" s="34" t="str">
        <f>IF(Account!$F1066&lt;&gt;"", DATEVALUE(MID($C1066,4,3) &amp; LEFT($C1066,3) &amp; RIGHT($C1066,4)), "")</f>
        <v/>
      </c>
      <c r="Q1066" s="35" t="str">
        <f t="array" ref="Q1066">IF($R1066&lt;&gt;"",IFERROR(INDEX(Investment!$A:$A,MATCH($R1066,Investment!$H:$H,0))),)</f>
        <v/>
      </c>
      <c r="R1066" s="36" t="str">
        <f t="array" ref="R1066">IF(AND($Y1066="change",$H1066="EUR"),IF(AND($AA1066="Crédit",$O1066=$O1067),$R1067,IF(AND($AA1066="Débit",$O1066=$O1065),$R1065)),IF(OR(AND(OR($E1066&lt;&gt;"",$M1066=""),$N1066&lt;&gt;0),$A1066=""),IFERROR(INDEX(Investment!$H:$H,MATCH($E1066,Investment!$F:$F,0))),IFERROR(INDEX($R1067:$R1119,MATCH(SUBSTITUTE($I1066,"-","",1),$K1067:$K1119,0)),INDEX($R1067:$R1119,MATCH($K1066,$K1067:$K1119,0)))))</f>
        <v/>
      </c>
      <c r="S1066" s="35" t="str">
        <f t="shared" si="2"/>
        <v/>
      </c>
      <c r="T1066" s="37" t="str">
        <f t="shared" si="3"/>
        <v/>
      </c>
      <c r="U1066" s="38" t="str">
        <f t="shared" si="4"/>
        <v/>
      </c>
      <c r="V1066" s="31" t="str">
        <f t="shared" si="5"/>
        <v/>
      </c>
      <c r="W1066" s="39" t="str">
        <f>IFERROR(__xludf.DUMMYFUNCTION(" IF(Account!$F1066&lt;&gt;"""", SPLIT(Account!$F1066, "" ""), """")"),"")</f>
        <v/>
      </c>
      <c r="X1066" s="40"/>
      <c r="Y1066" s="40"/>
      <c r="Z1066" s="40"/>
      <c r="AA1066" s="40"/>
      <c r="AB1066" s="40"/>
      <c r="AC1066" s="40"/>
      <c r="AD1066" s="40"/>
      <c r="AE1066" s="40"/>
      <c r="AF1066" s="40"/>
      <c r="AG1066" s="40"/>
      <c r="AH1066" s="40"/>
      <c r="AI1066" s="40"/>
      <c r="AJ1066" s="40"/>
      <c r="AK1066" s="40"/>
    </row>
    <row r="1067">
      <c r="A1067" s="300"/>
      <c r="B1067" s="300"/>
      <c r="C1067" s="300"/>
      <c r="D1067" s="300"/>
      <c r="E1067" s="300"/>
      <c r="F1067" s="329"/>
      <c r="G1067" s="300"/>
      <c r="H1067" s="300"/>
      <c r="I1067" s="300"/>
      <c r="J1067" s="300"/>
      <c r="K1067" s="300"/>
      <c r="L1067" s="329"/>
      <c r="M1067" s="29" t="str">
        <f t="shared" si="1"/>
        <v/>
      </c>
      <c r="N1067" s="31" t="str">
        <f>IFERROR(__xludf.DUMMYFUNCTION("IF(Account!$F1067&lt;&gt;"""", VALUE(REGEXREPLACE($I1067, ""\,"", ""."")), """")"),"")</f>
        <v/>
      </c>
      <c r="O1067" s="33" t="str">
        <f>IF(Account!$F1067&lt;&gt;"", DATEVALUE(MID($A1067,4,3) &amp; LEFT($A1067,3) &amp; RIGHT($A1067,4)) + TIMEVALUE($B1067), "")</f>
        <v/>
      </c>
      <c r="P1067" s="34" t="str">
        <f>IF(Account!$F1067&lt;&gt;"", DATEVALUE(MID($C1067,4,3) &amp; LEFT($C1067,3) &amp; RIGHT($C1067,4)), "")</f>
        <v/>
      </c>
      <c r="Q1067" s="35" t="str">
        <f t="array" ref="Q1067">IF($R1067&lt;&gt;"",IFERROR(INDEX(Investment!$A:$A,MATCH($R1067,Investment!$H:$H,0))),)</f>
        <v/>
      </c>
      <c r="R1067" s="36" t="str">
        <f t="array" ref="R1067">IF(AND($Y1067="change",$H1067="EUR"),IF(AND($AA1067="Crédit",$O1067=$O1068),$R1068,IF(AND($AA1067="Débit",$O1067=$O1066),$R1066)),IF(OR(AND(OR($E1067&lt;&gt;"",$M1067=""),$N1067&lt;&gt;0),$A1067=""),IFERROR(INDEX(Investment!$H:$H,MATCH($E1067,Investment!$F:$F,0))),IFERROR(INDEX($R1068:$R1119,MATCH(SUBSTITUTE($I1067,"-","",1),$K1068:$K1119,0)),INDEX($R1068:$R1119,MATCH($K1067,$K1068:$K1119,0)))))</f>
        <v/>
      </c>
      <c r="S1067" s="35" t="str">
        <f t="shared" si="2"/>
        <v/>
      </c>
      <c r="T1067" s="37" t="str">
        <f t="shared" si="3"/>
        <v/>
      </c>
      <c r="U1067" s="38" t="str">
        <f t="shared" si="4"/>
        <v/>
      </c>
      <c r="V1067" s="31" t="str">
        <f t="shared" si="5"/>
        <v/>
      </c>
      <c r="W1067" s="39" t="str">
        <f>IFERROR(__xludf.DUMMYFUNCTION(" IF(Account!$F1067&lt;&gt;"""", SPLIT(Account!$F1067, "" ""), """")"),"")</f>
        <v/>
      </c>
      <c r="X1067" s="40"/>
      <c r="Y1067" s="40"/>
      <c r="Z1067" s="40"/>
      <c r="AA1067" s="40"/>
      <c r="AB1067" s="40"/>
      <c r="AC1067" s="40"/>
      <c r="AD1067" s="40"/>
      <c r="AE1067" s="40"/>
      <c r="AF1067" s="40"/>
      <c r="AG1067" s="40"/>
      <c r="AH1067" s="40"/>
      <c r="AI1067" s="40"/>
      <c r="AJ1067" s="40"/>
      <c r="AK1067" s="40"/>
    </row>
    <row r="1068">
      <c r="A1068" s="300"/>
      <c r="B1068" s="300"/>
      <c r="C1068" s="300"/>
      <c r="D1068" s="300"/>
      <c r="E1068" s="300"/>
      <c r="F1068" s="329"/>
      <c r="G1068" s="300"/>
      <c r="H1068" s="300"/>
      <c r="I1068" s="300"/>
      <c r="J1068" s="300"/>
      <c r="K1068" s="300"/>
      <c r="L1068" s="329"/>
      <c r="M1068" s="29" t="str">
        <f t="shared" si="1"/>
        <v/>
      </c>
      <c r="N1068" s="31" t="str">
        <f>IFERROR(__xludf.DUMMYFUNCTION("IF(Account!$F1068&lt;&gt;"""", VALUE(REGEXREPLACE($I1068, ""\,"", ""."")), """")"),"")</f>
        <v/>
      </c>
      <c r="O1068" s="33" t="str">
        <f>IF(Account!$F1068&lt;&gt;"", DATEVALUE(MID($A1068,4,3) &amp; LEFT($A1068,3) &amp; RIGHT($A1068,4)) + TIMEVALUE($B1068), "")</f>
        <v/>
      </c>
      <c r="P1068" s="34" t="str">
        <f>IF(Account!$F1068&lt;&gt;"", DATEVALUE(MID($C1068,4,3) &amp; LEFT($C1068,3) &amp; RIGHT($C1068,4)), "")</f>
        <v/>
      </c>
      <c r="Q1068" s="35" t="str">
        <f t="array" ref="Q1068">IF($R1068&lt;&gt;"",IFERROR(INDEX(Investment!$A:$A,MATCH($R1068,Investment!$H:$H,0))),)</f>
        <v/>
      </c>
      <c r="R1068" s="36" t="str">
        <f t="array" ref="R1068">IF(AND($Y1068="change",$H1068="EUR"),IF(AND($AA1068="Crédit",$O1068=$O1069),$R1069,IF(AND($AA1068="Débit",$O1068=$O1067),$R1067)),IF(OR(AND(OR($E1068&lt;&gt;"",$M1068=""),$N1068&lt;&gt;0),$A1068=""),IFERROR(INDEX(Investment!$H:$H,MATCH($E1068,Investment!$F:$F,0))),IFERROR(INDEX($R1069:$R1119,MATCH(SUBSTITUTE($I1068,"-","",1),$K1069:$K1119,0)),INDEX($R1069:$R1119,MATCH($K1068,$K1069:$K1119,0)))))</f>
        <v/>
      </c>
      <c r="S1068" s="35" t="str">
        <f t="shared" si="2"/>
        <v/>
      </c>
      <c r="T1068" s="37" t="str">
        <f t="shared" si="3"/>
        <v/>
      </c>
      <c r="U1068" s="38" t="str">
        <f t="shared" si="4"/>
        <v/>
      </c>
      <c r="V1068" s="31" t="str">
        <f t="shared" si="5"/>
        <v/>
      </c>
      <c r="W1068" s="39" t="str">
        <f>IFERROR(__xludf.DUMMYFUNCTION(" IF(Account!$F1068&lt;&gt;"""", SPLIT(Account!$F1068, "" ""), """")"),"")</f>
        <v/>
      </c>
      <c r="X1068" s="40"/>
      <c r="Y1068" s="40"/>
      <c r="Z1068" s="40"/>
      <c r="AA1068" s="40"/>
      <c r="AB1068" s="40"/>
      <c r="AC1068" s="40"/>
      <c r="AD1068" s="40"/>
      <c r="AE1068" s="40"/>
      <c r="AF1068" s="40"/>
      <c r="AG1068" s="40"/>
      <c r="AH1068" s="40"/>
      <c r="AI1068" s="40"/>
      <c r="AJ1068" s="40"/>
      <c r="AK1068" s="40"/>
    </row>
    <row r="1069">
      <c r="A1069" s="300"/>
      <c r="B1069" s="300"/>
      <c r="C1069" s="300"/>
      <c r="D1069" s="300"/>
      <c r="E1069" s="300"/>
      <c r="F1069" s="329"/>
      <c r="G1069" s="300"/>
      <c r="H1069" s="300"/>
      <c r="I1069" s="300"/>
      <c r="J1069" s="300"/>
      <c r="K1069" s="300"/>
      <c r="L1069" s="329"/>
      <c r="M1069" s="29" t="str">
        <f t="shared" si="1"/>
        <v/>
      </c>
      <c r="N1069" s="31" t="str">
        <f>IFERROR(__xludf.DUMMYFUNCTION("IF(Account!$F1069&lt;&gt;"""", VALUE(REGEXREPLACE($I1069, ""\,"", ""."")), """")"),"")</f>
        <v/>
      </c>
      <c r="O1069" s="33" t="str">
        <f>IF(Account!$F1069&lt;&gt;"", DATEVALUE(MID($A1069,4,3) &amp; LEFT($A1069,3) &amp; RIGHT($A1069,4)) + TIMEVALUE($B1069), "")</f>
        <v/>
      </c>
      <c r="P1069" s="34" t="str">
        <f>IF(Account!$F1069&lt;&gt;"", DATEVALUE(MID($C1069,4,3) &amp; LEFT($C1069,3) &amp; RIGHT($C1069,4)), "")</f>
        <v/>
      </c>
      <c r="Q1069" s="35" t="str">
        <f t="array" ref="Q1069">IF($R1069&lt;&gt;"",IFERROR(INDEX(Investment!$A:$A,MATCH($R1069,Investment!$H:$H,0))),)</f>
        <v/>
      </c>
      <c r="R1069" s="36" t="str">
        <f t="array" ref="R1069">IF(AND($Y1069="change",$H1069="EUR"),IF(AND($AA1069="Crédit",$O1069=$O1070),$R1070,IF(AND($AA1069="Débit",$O1069=$O1068),$R1068)),IF(OR(AND(OR($E1069&lt;&gt;"",$M1069=""),$N1069&lt;&gt;0),$A1069=""),IFERROR(INDEX(Investment!$H:$H,MATCH($E1069,Investment!$F:$F,0))),IFERROR(INDEX($R1070:$R1119,MATCH(SUBSTITUTE($I1069,"-","",1),$K1070:$K1119,0)),INDEX($R1070:$R1119,MATCH($K1069,$K1070:$K1119,0)))))</f>
        <v/>
      </c>
      <c r="S1069" s="35" t="str">
        <f t="shared" si="2"/>
        <v/>
      </c>
      <c r="T1069" s="37" t="str">
        <f t="shared" si="3"/>
        <v/>
      </c>
      <c r="U1069" s="38" t="str">
        <f t="shared" si="4"/>
        <v/>
      </c>
      <c r="V1069" s="31" t="str">
        <f t="shared" si="5"/>
        <v/>
      </c>
      <c r="W1069" s="39" t="str">
        <f>IFERROR(__xludf.DUMMYFUNCTION(" IF(Account!$F1069&lt;&gt;"""", SPLIT(Account!$F1069, "" ""), """")"),"")</f>
        <v/>
      </c>
      <c r="X1069" s="40"/>
      <c r="Y1069" s="40"/>
      <c r="Z1069" s="40"/>
      <c r="AA1069" s="40"/>
      <c r="AB1069" s="40"/>
      <c r="AC1069" s="40"/>
      <c r="AD1069" s="40"/>
      <c r="AE1069" s="40"/>
      <c r="AF1069" s="40"/>
      <c r="AG1069" s="40"/>
      <c r="AH1069" s="40"/>
      <c r="AI1069" s="40"/>
      <c r="AJ1069" s="40"/>
      <c r="AK1069" s="40"/>
    </row>
    <row r="1070">
      <c r="A1070" s="300"/>
      <c r="B1070" s="300"/>
      <c r="C1070" s="300"/>
      <c r="D1070" s="300"/>
      <c r="E1070" s="300"/>
      <c r="F1070" s="329"/>
      <c r="G1070" s="300"/>
      <c r="H1070" s="300"/>
      <c r="I1070" s="300"/>
      <c r="J1070" s="300"/>
      <c r="K1070" s="300"/>
      <c r="L1070" s="329"/>
      <c r="M1070" s="29" t="str">
        <f t="shared" si="1"/>
        <v/>
      </c>
      <c r="N1070" s="31" t="str">
        <f>IFERROR(__xludf.DUMMYFUNCTION("IF(Account!$F1070&lt;&gt;"""", VALUE(REGEXREPLACE($I1070, ""\,"", ""."")), """")"),"")</f>
        <v/>
      </c>
      <c r="O1070" s="33" t="str">
        <f>IF(Account!$F1070&lt;&gt;"", DATEVALUE(MID($A1070,4,3) &amp; LEFT($A1070,3) &amp; RIGHT($A1070,4)) + TIMEVALUE($B1070), "")</f>
        <v/>
      </c>
      <c r="P1070" s="34" t="str">
        <f>IF(Account!$F1070&lt;&gt;"", DATEVALUE(MID($C1070,4,3) &amp; LEFT($C1070,3) &amp; RIGHT($C1070,4)), "")</f>
        <v/>
      </c>
      <c r="Q1070" s="35" t="str">
        <f t="array" ref="Q1070">IF($R1070&lt;&gt;"",IFERROR(INDEX(Investment!$A:$A,MATCH($R1070,Investment!$H:$H,0))),)</f>
        <v/>
      </c>
      <c r="R1070" s="36" t="str">
        <f t="array" ref="R1070">IF(AND($Y1070="change",$H1070="EUR"),IF(AND($AA1070="Crédit",$O1070=$O1071),$R1071,IF(AND($AA1070="Débit",$O1070=$O1069),$R1069)),IF(OR(AND(OR($E1070&lt;&gt;"",$M1070=""),$N1070&lt;&gt;0),$A1070=""),IFERROR(INDEX(Investment!$H:$H,MATCH($E1070,Investment!$F:$F,0))),IFERROR(INDEX($R1071:$R1119,MATCH(SUBSTITUTE($I1070,"-","",1),$K1071:$K1119,0)),INDEX($R1071:$R1119,MATCH($K1070,$K1071:$K1119,0)))))</f>
        <v/>
      </c>
      <c r="S1070" s="35" t="str">
        <f t="shared" si="2"/>
        <v/>
      </c>
      <c r="T1070" s="37" t="str">
        <f t="shared" si="3"/>
        <v/>
      </c>
      <c r="U1070" s="38" t="str">
        <f t="shared" si="4"/>
        <v/>
      </c>
      <c r="V1070" s="31" t="str">
        <f t="shared" si="5"/>
        <v/>
      </c>
      <c r="W1070" s="39" t="str">
        <f>IFERROR(__xludf.DUMMYFUNCTION(" IF(Account!$F1070&lt;&gt;"""", SPLIT(Account!$F1070, "" ""), """")"),"")</f>
        <v/>
      </c>
      <c r="X1070" s="40"/>
      <c r="Y1070" s="40"/>
      <c r="Z1070" s="40"/>
      <c r="AA1070" s="40"/>
      <c r="AB1070" s="40"/>
      <c r="AC1070" s="40"/>
      <c r="AD1070" s="40"/>
      <c r="AE1070" s="40"/>
      <c r="AF1070" s="40"/>
      <c r="AG1070" s="40"/>
      <c r="AH1070" s="40"/>
      <c r="AI1070" s="40"/>
      <c r="AJ1070" s="40"/>
      <c r="AK1070" s="40"/>
    </row>
    <row r="1071">
      <c r="A1071" s="300"/>
      <c r="B1071" s="300"/>
      <c r="C1071" s="300"/>
      <c r="D1071" s="300"/>
      <c r="E1071" s="300"/>
      <c r="F1071" s="329"/>
      <c r="G1071" s="300"/>
      <c r="H1071" s="300"/>
      <c r="I1071" s="300"/>
      <c r="J1071" s="300"/>
      <c r="K1071" s="300"/>
      <c r="L1071" s="329"/>
      <c r="M1071" s="29" t="str">
        <f t="shared" si="1"/>
        <v/>
      </c>
      <c r="N1071" s="31" t="str">
        <f>IFERROR(__xludf.DUMMYFUNCTION("IF(Account!$F1071&lt;&gt;"""", VALUE(REGEXREPLACE($I1071, ""\,"", ""."")), """")"),"")</f>
        <v/>
      </c>
      <c r="O1071" s="33" t="str">
        <f>IF(Account!$F1071&lt;&gt;"", DATEVALUE(MID($A1071,4,3) &amp; LEFT($A1071,3) &amp; RIGHT($A1071,4)) + TIMEVALUE($B1071), "")</f>
        <v/>
      </c>
      <c r="P1071" s="34" t="str">
        <f>IF(Account!$F1071&lt;&gt;"", DATEVALUE(MID($C1071,4,3) &amp; LEFT($C1071,3) &amp; RIGHT($C1071,4)), "")</f>
        <v/>
      </c>
      <c r="Q1071" s="35" t="str">
        <f t="array" ref="Q1071">IF($R1071&lt;&gt;"",IFERROR(INDEX(Investment!$A:$A,MATCH($R1071,Investment!$H:$H,0))),)</f>
        <v/>
      </c>
      <c r="R1071" s="36" t="str">
        <f t="array" ref="R1071">IF(AND($Y1071="change",$H1071="EUR"),IF(AND($AA1071="Crédit",$O1071=$O1072),$R1072,IF(AND($AA1071="Débit",$O1071=$O1070),$R1070)),IF(OR(AND(OR($E1071&lt;&gt;"",$M1071=""),$N1071&lt;&gt;0),$A1071=""),IFERROR(INDEX(Investment!$H:$H,MATCH($E1071,Investment!$F:$F,0))),IFERROR(INDEX($R1072:$R1119,MATCH(SUBSTITUTE($I1071,"-","",1),$K1072:$K1119,0)),INDEX($R1072:$R1119,MATCH($K1071,$K1072:$K1119,0)))))</f>
        <v/>
      </c>
      <c r="S1071" s="35" t="str">
        <f t="shared" si="2"/>
        <v/>
      </c>
      <c r="T1071" s="37" t="str">
        <f t="shared" si="3"/>
        <v/>
      </c>
      <c r="U1071" s="38" t="str">
        <f t="shared" si="4"/>
        <v/>
      </c>
      <c r="V1071" s="31" t="str">
        <f t="shared" si="5"/>
        <v/>
      </c>
      <c r="W1071" s="39" t="str">
        <f>IFERROR(__xludf.DUMMYFUNCTION(" IF(Account!$F1071&lt;&gt;"""", SPLIT(Account!$F1071, "" ""), """")"),"")</f>
        <v/>
      </c>
      <c r="X1071" s="40"/>
      <c r="Y1071" s="40"/>
      <c r="Z1071" s="40"/>
      <c r="AA1071" s="40"/>
      <c r="AB1071" s="40"/>
      <c r="AC1071" s="40"/>
      <c r="AD1071" s="40"/>
      <c r="AE1071" s="40"/>
      <c r="AF1071" s="40"/>
      <c r="AG1071" s="40"/>
      <c r="AH1071" s="40"/>
      <c r="AI1071" s="40"/>
      <c r="AJ1071" s="40"/>
      <c r="AK1071" s="40"/>
    </row>
    <row r="1072">
      <c r="A1072" s="300"/>
      <c r="B1072" s="300"/>
      <c r="C1072" s="300"/>
      <c r="D1072" s="300"/>
      <c r="E1072" s="300"/>
      <c r="F1072" s="329"/>
      <c r="G1072" s="300"/>
      <c r="H1072" s="300"/>
      <c r="I1072" s="300"/>
      <c r="J1072" s="300"/>
      <c r="K1072" s="300"/>
      <c r="L1072" s="329"/>
      <c r="M1072" s="29" t="str">
        <f t="shared" si="1"/>
        <v/>
      </c>
      <c r="N1072" s="31" t="str">
        <f>IFERROR(__xludf.DUMMYFUNCTION("IF(Account!$F1072&lt;&gt;"""", VALUE(REGEXREPLACE($I1072, ""\,"", ""."")), """")"),"")</f>
        <v/>
      </c>
      <c r="O1072" s="33" t="str">
        <f>IF(Account!$F1072&lt;&gt;"", DATEVALUE(MID($A1072,4,3) &amp; LEFT($A1072,3) &amp; RIGHT($A1072,4)) + TIMEVALUE($B1072), "")</f>
        <v/>
      </c>
      <c r="P1072" s="34" t="str">
        <f>IF(Account!$F1072&lt;&gt;"", DATEVALUE(MID($C1072,4,3) &amp; LEFT($C1072,3) &amp; RIGHT($C1072,4)), "")</f>
        <v/>
      </c>
      <c r="Q1072" s="35" t="str">
        <f t="array" ref="Q1072">IF($R1072&lt;&gt;"",IFERROR(INDEX(Investment!$A:$A,MATCH($R1072,Investment!$H:$H,0))),)</f>
        <v/>
      </c>
      <c r="R1072" s="36" t="str">
        <f t="array" ref="R1072">IF(AND($Y1072="change",$H1072="EUR"),IF(AND($AA1072="Crédit",$O1072=$O1073),$R1073,IF(AND($AA1072="Débit",$O1072=$O1071),$R1071)),IF(OR(AND(OR($E1072&lt;&gt;"",$M1072=""),$N1072&lt;&gt;0),$A1072=""),IFERROR(INDEX(Investment!$H:$H,MATCH($E1072,Investment!$F:$F,0))),IFERROR(INDEX($R1073:$R1119,MATCH(SUBSTITUTE($I1072,"-","",1),$K1073:$K1119,0)),INDEX($R1073:$R1119,MATCH($K1072,$K1073:$K1119,0)))))</f>
        <v/>
      </c>
      <c r="S1072" s="35" t="str">
        <f t="shared" si="2"/>
        <v/>
      </c>
      <c r="T1072" s="37" t="str">
        <f t="shared" si="3"/>
        <v/>
      </c>
      <c r="U1072" s="38" t="str">
        <f t="shared" si="4"/>
        <v/>
      </c>
      <c r="V1072" s="31" t="str">
        <f t="shared" si="5"/>
        <v/>
      </c>
      <c r="W1072" s="39" t="str">
        <f>IFERROR(__xludf.DUMMYFUNCTION(" IF(Account!$F1072&lt;&gt;"""", SPLIT(Account!$F1072, "" ""), """")"),"")</f>
        <v/>
      </c>
      <c r="X1072" s="40"/>
      <c r="Y1072" s="40"/>
      <c r="Z1072" s="40"/>
      <c r="AA1072" s="40"/>
      <c r="AB1072" s="40"/>
      <c r="AC1072" s="40"/>
      <c r="AD1072" s="40"/>
      <c r="AE1072" s="40"/>
      <c r="AF1072" s="40"/>
      <c r="AG1072" s="40"/>
      <c r="AH1072" s="40"/>
      <c r="AI1072" s="40"/>
      <c r="AJ1072" s="40"/>
      <c r="AK1072" s="40"/>
    </row>
    <row r="1073">
      <c r="A1073" s="300"/>
      <c r="B1073" s="300"/>
      <c r="C1073" s="300"/>
      <c r="D1073" s="300"/>
      <c r="E1073" s="300"/>
      <c r="F1073" s="329"/>
      <c r="G1073" s="300"/>
      <c r="H1073" s="300"/>
      <c r="I1073" s="300"/>
      <c r="J1073" s="300"/>
      <c r="K1073" s="300"/>
      <c r="L1073" s="329"/>
      <c r="M1073" s="29" t="str">
        <f t="shared" si="1"/>
        <v/>
      </c>
      <c r="N1073" s="31" t="str">
        <f>IFERROR(__xludf.DUMMYFUNCTION("IF(Account!$F1073&lt;&gt;"""", VALUE(REGEXREPLACE($I1073, ""\,"", ""."")), """")"),"")</f>
        <v/>
      </c>
      <c r="O1073" s="33" t="str">
        <f>IF(Account!$F1073&lt;&gt;"", DATEVALUE(MID($A1073,4,3) &amp; LEFT($A1073,3) &amp; RIGHT($A1073,4)) + TIMEVALUE($B1073), "")</f>
        <v/>
      </c>
      <c r="P1073" s="34" t="str">
        <f>IF(Account!$F1073&lt;&gt;"", DATEVALUE(MID($C1073,4,3) &amp; LEFT($C1073,3) &amp; RIGHT($C1073,4)), "")</f>
        <v/>
      </c>
      <c r="Q1073" s="35" t="str">
        <f t="array" ref="Q1073">IF($R1073&lt;&gt;"",IFERROR(INDEX(Investment!$A:$A,MATCH($R1073,Investment!$H:$H,0))),)</f>
        <v/>
      </c>
      <c r="R1073" s="36" t="str">
        <f t="array" ref="R1073">IF(AND($Y1073="change",$H1073="EUR"),IF(AND($AA1073="Crédit",$O1073=$O1074),$R1074,IF(AND($AA1073="Débit",$O1073=$O1072),$R1072)),IF(OR(AND(OR($E1073&lt;&gt;"",$M1073=""),$N1073&lt;&gt;0),$A1073=""),IFERROR(INDEX(Investment!$H:$H,MATCH($E1073,Investment!$F:$F,0))),IFERROR(INDEX($R1074:$R1119,MATCH(SUBSTITUTE($I1073,"-","",1),$K1074:$K1119,0)),INDEX($R1074:$R1119,MATCH($K1073,$K1074:$K1119,0)))))</f>
        <v/>
      </c>
      <c r="S1073" s="35" t="str">
        <f t="shared" si="2"/>
        <v/>
      </c>
      <c r="T1073" s="37" t="str">
        <f t="shared" si="3"/>
        <v/>
      </c>
      <c r="U1073" s="38" t="str">
        <f t="shared" si="4"/>
        <v/>
      </c>
      <c r="V1073" s="31" t="str">
        <f t="shared" si="5"/>
        <v/>
      </c>
      <c r="W1073" s="39" t="str">
        <f>IFERROR(__xludf.DUMMYFUNCTION(" IF(Account!$F1073&lt;&gt;"""", SPLIT(Account!$F1073, "" ""), """")"),"")</f>
        <v/>
      </c>
      <c r="X1073" s="40"/>
      <c r="Y1073" s="40"/>
      <c r="Z1073" s="40"/>
      <c r="AA1073" s="40"/>
      <c r="AB1073" s="40"/>
      <c r="AC1073" s="40"/>
      <c r="AD1073" s="40"/>
      <c r="AE1073" s="40"/>
      <c r="AF1073" s="40"/>
      <c r="AG1073" s="40"/>
      <c r="AH1073" s="40"/>
      <c r="AI1073" s="40"/>
      <c r="AJ1073" s="40"/>
      <c r="AK1073" s="40"/>
    </row>
    <row r="1074">
      <c r="A1074" s="300"/>
      <c r="B1074" s="300"/>
      <c r="C1074" s="300"/>
      <c r="D1074" s="300"/>
      <c r="E1074" s="300"/>
      <c r="F1074" s="329"/>
      <c r="G1074" s="300"/>
      <c r="H1074" s="300"/>
      <c r="I1074" s="300"/>
      <c r="J1074" s="300"/>
      <c r="K1074" s="300"/>
      <c r="L1074" s="329"/>
      <c r="M1074" s="29" t="str">
        <f t="shared" si="1"/>
        <v/>
      </c>
      <c r="N1074" s="31" t="str">
        <f>IFERROR(__xludf.DUMMYFUNCTION("IF(Account!$F1074&lt;&gt;"""", VALUE(REGEXREPLACE($I1074, ""\,"", ""."")), """")"),"")</f>
        <v/>
      </c>
      <c r="O1074" s="33" t="str">
        <f>IF(Account!$F1074&lt;&gt;"", DATEVALUE(MID($A1074,4,3) &amp; LEFT($A1074,3) &amp; RIGHT($A1074,4)) + TIMEVALUE($B1074), "")</f>
        <v/>
      </c>
      <c r="P1074" s="34" t="str">
        <f>IF(Account!$F1074&lt;&gt;"", DATEVALUE(MID($C1074,4,3) &amp; LEFT($C1074,3) &amp; RIGHT($C1074,4)), "")</f>
        <v/>
      </c>
      <c r="Q1074" s="35" t="str">
        <f t="array" ref="Q1074">IF($R1074&lt;&gt;"",IFERROR(INDEX(Investment!$A:$A,MATCH($R1074,Investment!$H:$H,0))),)</f>
        <v/>
      </c>
      <c r="R1074" s="36" t="str">
        <f t="array" ref="R1074">IF(AND($Y1074="change",$H1074="EUR"),IF(AND($AA1074="Crédit",$O1074=$O1075),$R1075,IF(AND($AA1074="Débit",$O1074=$O1073),$R1073)),IF(OR(AND(OR($E1074&lt;&gt;"",$M1074=""),$N1074&lt;&gt;0),$A1074=""),IFERROR(INDEX(Investment!$H:$H,MATCH($E1074,Investment!$F:$F,0))),IFERROR(INDEX($R1075:$R1119,MATCH(SUBSTITUTE($I1074,"-","",1),$K1075:$K1119,0)),INDEX($R1075:$R1119,MATCH($K1074,$K1075:$K1119,0)))))</f>
        <v/>
      </c>
      <c r="S1074" s="35" t="str">
        <f t="shared" si="2"/>
        <v/>
      </c>
      <c r="T1074" s="37" t="str">
        <f t="shared" si="3"/>
        <v/>
      </c>
      <c r="U1074" s="38" t="str">
        <f t="shared" si="4"/>
        <v/>
      </c>
      <c r="V1074" s="31" t="str">
        <f t="shared" si="5"/>
        <v/>
      </c>
      <c r="W1074" s="39" t="str">
        <f>IFERROR(__xludf.DUMMYFUNCTION(" IF(Account!$F1074&lt;&gt;"""", SPLIT(Account!$F1074, "" ""), """")"),"")</f>
        <v/>
      </c>
      <c r="X1074" s="40"/>
      <c r="Y1074" s="40"/>
      <c r="Z1074" s="40"/>
      <c r="AA1074" s="40"/>
      <c r="AB1074" s="40"/>
      <c r="AC1074" s="40"/>
      <c r="AD1074" s="40"/>
      <c r="AE1074" s="40"/>
      <c r="AF1074" s="40"/>
      <c r="AG1074" s="40"/>
      <c r="AH1074" s="40"/>
      <c r="AI1074" s="40"/>
      <c r="AJ1074" s="40"/>
      <c r="AK1074" s="40"/>
    </row>
    <row r="1075">
      <c r="A1075" s="300"/>
      <c r="B1075" s="300"/>
      <c r="C1075" s="300"/>
      <c r="D1075" s="300"/>
      <c r="E1075" s="300"/>
      <c r="F1075" s="329"/>
      <c r="G1075" s="300"/>
      <c r="H1075" s="300"/>
      <c r="I1075" s="300"/>
      <c r="J1075" s="300"/>
      <c r="K1075" s="300"/>
      <c r="L1075" s="329"/>
      <c r="M1075" s="29" t="str">
        <f t="shared" si="1"/>
        <v/>
      </c>
      <c r="N1075" s="31" t="str">
        <f>IFERROR(__xludf.DUMMYFUNCTION("IF(Account!$F1075&lt;&gt;"""", VALUE(REGEXREPLACE($I1075, ""\,"", ""."")), """")"),"")</f>
        <v/>
      </c>
      <c r="O1075" s="33" t="str">
        <f>IF(Account!$F1075&lt;&gt;"", DATEVALUE(MID($A1075,4,3) &amp; LEFT($A1075,3) &amp; RIGHT($A1075,4)) + TIMEVALUE($B1075), "")</f>
        <v/>
      </c>
      <c r="P1075" s="34" t="str">
        <f>IF(Account!$F1075&lt;&gt;"", DATEVALUE(MID($C1075,4,3) &amp; LEFT($C1075,3) &amp; RIGHT($C1075,4)), "")</f>
        <v/>
      </c>
      <c r="Q1075" s="35" t="str">
        <f t="array" ref="Q1075">IF($R1075&lt;&gt;"",IFERROR(INDEX(Investment!$A:$A,MATCH($R1075,Investment!$H:$H,0))),)</f>
        <v/>
      </c>
      <c r="R1075" s="36" t="str">
        <f t="array" ref="R1075">IF(AND($Y1075="change",$H1075="EUR"),IF(AND($AA1075="Crédit",$O1075=$O1076),$R1076,IF(AND($AA1075="Débit",$O1075=$O1074),$R1074)),IF(OR(AND(OR($E1075&lt;&gt;"",$M1075=""),$N1075&lt;&gt;0),$A1075=""),IFERROR(INDEX(Investment!$H:$H,MATCH($E1075,Investment!$F:$F,0))),IFERROR(INDEX($R1076:$R1119,MATCH(SUBSTITUTE($I1075,"-","",1),$K1076:$K1119,0)),INDEX($R1076:$R1119,MATCH($K1075,$K1076:$K1119,0)))))</f>
        <v/>
      </c>
      <c r="S1075" s="35" t="str">
        <f t="shared" si="2"/>
        <v/>
      </c>
      <c r="T1075" s="37" t="str">
        <f t="shared" si="3"/>
        <v/>
      </c>
      <c r="U1075" s="38" t="str">
        <f t="shared" si="4"/>
        <v/>
      </c>
      <c r="V1075" s="31" t="str">
        <f t="shared" si="5"/>
        <v/>
      </c>
      <c r="W1075" s="39" t="str">
        <f>IFERROR(__xludf.DUMMYFUNCTION(" IF(Account!$F1075&lt;&gt;"""", SPLIT(Account!$F1075, "" ""), """")"),"")</f>
        <v/>
      </c>
      <c r="X1075" s="40"/>
      <c r="Y1075" s="40"/>
      <c r="Z1075" s="40"/>
      <c r="AA1075" s="40"/>
      <c r="AB1075" s="40"/>
      <c r="AC1075" s="40"/>
      <c r="AD1075" s="40"/>
      <c r="AE1075" s="40"/>
      <c r="AF1075" s="40"/>
      <c r="AG1075" s="40"/>
      <c r="AH1075" s="40"/>
      <c r="AI1075" s="40"/>
      <c r="AJ1075" s="40"/>
      <c r="AK1075" s="40"/>
    </row>
    <row r="1076">
      <c r="A1076" s="300"/>
      <c r="B1076" s="300"/>
      <c r="C1076" s="300"/>
      <c r="D1076" s="300"/>
      <c r="E1076" s="300"/>
      <c r="F1076" s="329"/>
      <c r="G1076" s="300"/>
      <c r="H1076" s="300"/>
      <c r="I1076" s="300"/>
      <c r="J1076" s="300"/>
      <c r="K1076" s="300"/>
      <c r="L1076" s="329"/>
      <c r="M1076" s="29" t="str">
        <f t="shared" si="1"/>
        <v/>
      </c>
      <c r="N1076" s="31" t="str">
        <f>IFERROR(__xludf.DUMMYFUNCTION("IF(Account!$F1076&lt;&gt;"""", VALUE(REGEXREPLACE($I1076, ""\,"", ""."")), """")"),"")</f>
        <v/>
      </c>
      <c r="O1076" s="33" t="str">
        <f>IF(Account!$F1076&lt;&gt;"", DATEVALUE(MID($A1076,4,3) &amp; LEFT($A1076,3) &amp; RIGHT($A1076,4)) + TIMEVALUE($B1076), "")</f>
        <v/>
      </c>
      <c r="P1076" s="34" t="str">
        <f>IF(Account!$F1076&lt;&gt;"", DATEVALUE(MID($C1076,4,3) &amp; LEFT($C1076,3) &amp; RIGHT($C1076,4)), "")</f>
        <v/>
      </c>
      <c r="Q1076" s="35" t="str">
        <f t="array" ref="Q1076">IF($R1076&lt;&gt;"",IFERROR(INDEX(Investment!$A:$A,MATCH($R1076,Investment!$H:$H,0))),)</f>
        <v/>
      </c>
      <c r="R1076" s="36" t="str">
        <f t="array" ref="R1076">IF(AND($Y1076="change",$H1076="EUR"),IF(AND($AA1076="Crédit",$O1076=$O1077),$R1077,IF(AND($AA1076="Débit",$O1076=$O1075),$R1075)),IF(OR(AND(OR($E1076&lt;&gt;"",$M1076=""),$N1076&lt;&gt;0),$A1076=""),IFERROR(INDEX(Investment!$H:$H,MATCH($E1076,Investment!$F:$F,0))),IFERROR(INDEX($R1077:$R1119,MATCH(SUBSTITUTE($I1076,"-","",1),$K1077:$K1119,0)),INDEX($R1077:$R1119,MATCH($K1076,$K1077:$K1119,0)))))</f>
        <v/>
      </c>
      <c r="S1076" s="35" t="str">
        <f t="shared" si="2"/>
        <v/>
      </c>
      <c r="T1076" s="37" t="str">
        <f t="shared" si="3"/>
        <v/>
      </c>
      <c r="U1076" s="38" t="str">
        <f t="shared" si="4"/>
        <v/>
      </c>
      <c r="V1076" s="31" t="str">
        <f t="shared" si="5"/>
        <v/>
      </c>
      <c r="W1076" s="39" t="str">
        <f>IFERROR(__xludf.DUMMYFUNCTION(" IF(Account!$F1076&lt;&gt;"""", SPLIT(Account!$F1076, "" ""), """")"),"")</f>
        <v/>
      </c>
      <c r="X1076" s="40"/>
      <c r="Y1076" s="40"/>
      <c r="Z1076" s="40"/>
      <c r="AA1076" s="40"/>
      <c r="AB1076" s="40"/>
      <c r="AC1076" s="40"/>
      <c r="AD1076" s="40"/>
      <c r="AE1076" s="40"/>
      <c r="AF1076" s="40"/>
      <c r="AG1076" s="40"/>
      <c r="AH1076" s="40"/>
      <c r="AI1076" s="40"/>
      <c r="AJ1076" s="40"/>
      <c r="AK1076" s="40"/>
    </row>
    <row r="1077">
      <c r="A1077" s="300"/>
      <c r="B1077" s="300"/>
      <c r="C1077" s="300"/>
      <c r="D1077" s="300"/>
      <c r="E1077" s="300"/>
      <c r="F1077" s="329"/>
      <c r="G1077" s="300"/>
      <c r="H1077" s="300"/>
      <c r="I1077" s="300"/>
      <c r="J1077" s="300"/>
      <c r="K1077" s="300"/>
      <c r="L1077" s="329"/>
      <c r="M1077" s="29" t="str">
        <f t="shared" si="1"/>
        <v/>
      </c>
      <c r="N1077" s="31" t="str">
        <f>IFERROR(__xludf.DUMMYFUNCTION("IF(Account!$F1077&lt;&gt;"""", VALUE(REGEXREPLACE($I1077, ""\,"", ""."")), """")"),"")</f>
        <v/>
      </c>
      <c r="O1077" s="33" t="str">
        <f>IF(Account!$F1077&lt;&gt;"", DATEVALUE(MID($A1077,4,3) &amp; LEFT($A1077,3) &amp; RIGHT($A1077,4)) + TIMEVALUE($B1077), "")</f>
        <v/>
      </c>
      <c r="P1077" s="34" t="str">
        <f>IF(Account!$F1077&lt;&gt;"", DATEVALUE(MID($C1077,4,3) &amp; LEFT($C1077,3) &amp; RIGHT($C1077,4)), "")</f>
        <v/>
      </c>
      <c r="Q1077" s="35" t="str">
        <f t="array" ref="Q1077">IF($R1077&lt;&gt;"",IFERROR(INDEX(Investment!$A:$A,MATCH($R1077,Investment!$H:$H,0))),)</f>
        <v/>
      </c>
      <c r="R1077" s="36" t="str">
        <f t="array" ref="R1077">IF(AND($Y1077="change",$H1077="EUR"),IF(AND($AA1077="Crédit",$O1077=$O1078),$R1078,IF(AND($AA1077="Débit",$O1077=$O1076),$R1076)),IF(OR(AND(OR($E1077&lt;&gt;"",$M1077=""),$N1077&lt;&gt;0),$A1077=""),IFERROR(INDEX(Investment!$H:$H,MATCH($E1077,Investment!$F:$F,0))),IFERROR(INDEX($R1078:$R1119,MATCH(SUBSTITUTE($I1077,"-","",1),$K1078:$K1119,0)),INDEX($R1078:$R1119,MATCH($K1077,$K1078:$K1119,0)))))</f>
        <v/>
      </c>
      <c r="S1077" s="35" t="str">
        <f t="shared" si="2"/>
        <v/>
      </c>
      <c r="T1077" s="37" t="str">
        <f t="shared" si="3"/>
        <v/>
      </c>
      <c r="U1077" s="38" t="str">
        <f t="shared" si="4"/>
        <v/>
      </c>
      <c r="V1077" s="31" t="str">
        <f t="shared" si="5"/>
        <v/>
      </c>
      <c r="W1077" s="39" t="str">
        <f>IFERROR(__xludf.DUMMYFUNCTION(" IF(Account!$F1077&lt;&gt;"""", SPLIT(Account!$F1077, "" ""), """")"),"")</f>
        <v/>
      </c>
      <c r="X1077" s="40"/>
      <c r="Y1077" s="40"/>
      <c r="Z1077" s="40"/>
      <c r="AA1077" s="40"/>
      <c r="AB1077" s="40"/>
      <c r="AC1077" s="40"/>
      <c r="AD1077" s="40"/>
      <c r="AE1077" s="40"/>
      <c r="AF1077" s="40"/>
      <c r="AG1077" s="40"/>
      <c r="AH1077" s="40"/>
      <c r="AI1077" s="40"/>
      <c r="AJ1077" s="40"/>
      <c r="AK1077" s="40"/>
    </row>
    <row r="1078">
      <c r="A1078" s="300"/>
      <c r="B1078" s="300"/>
      <c r="C1078" s="300"/>
      <c r="D1078" s="300"/>
      <c r="E1078" s="300"/>
      <c r="F1078" s="329"/>
      <c r="G1078" s="300"/>
      <c r="H1078" s="300"/>
      <c r="I1078" s="300"/>
      <c r="J1078" s="300"/>
      <c r="K1078" s="300"/>
      <c r="L1078" s="329"/>
      <c r="M1078" s="29" t="str">
        <f t="shared" si="1"/>
        <v/>
      </c>
      <c r="N1078" s="31" t="str">
        <f>IFERROR(__xludf.DUMMYFUNCTION("IF(Account!$F1078&lt;&gt;"""", VALUE(REGEXREPLACE($I1078, ""\,"", ""."")), """")"),"")</f>
        <v/>
      </c>
      <c r="O1078" s="33" t="str">
        <f>IF(Account!$F1078&lt;&gt;"", DATEVALUE(MID($A1078,4,3) &amp; LEFT($A1078,3) &amp; RIGHT($A1078,4)) + TIMEVALUE($B1078), "")</f>
        <v/>
      </c>
      <c r="P1078" s="34" t="str">
        <f>IF(Account!$F1078&lt;&gt;"", DATEVALUE(MID($C1078,4,3) &amp; LEFT($C1078,3) &amp; RIGHT($C1078,4)), "")</f>
        <v/>
      </c>
      <c r="Q1078" s="35" t="str">
        <f t="array" ref="Q1078">IF($R1078&lt;&gt;"",IFERROR(INDEX(Investment!$A:$A,MATCH($R1078,Investment!$H:$H,0))),)</f>
        <v/>
      </c>
      <c r="R1078" s="36" t="str">
        <f t="array" ref="R1078">IF(AND($Y1078="change",$H1078="EUR"),IF(AND($AA1078="Crédit",$O1078=$O1079),$R1079,IF(AND($AA1078="Débit",$O1078=$O1077),$R1077)),IF(OR(AND(OR($E1078&lt;&gt;"",$M1078=""),$N1078&lt;&gt;0),$A1078=""),IFERROR(INDEX(Investment!$H:$H,MATCH($E1078,Investment!$F:$F,0))),IFERROR(INDEX($R1079:$R1119,MATCH(SUBSTITUTE($I1078,"-","",1),$K1079:$K1119,0)),INDEX($R1079:$R1119,MATCH($K1078,$K1079:$K1119,0)))))</f>
        <v/>
      </c>
      <c r="S1078" s="35" t="str">
        <f t="shared" si="2"/>
        <v/>
      </c>
      <c r="T1078" s="37" t="str">
        <f t="shared" si="3"/>
        <v/>
      </c>
      <c r="U1078" s="38" t="str">
        <f t="shared" si="4"/>
        <v/>
      </c>
      <c r="V1078" s="31" t="str">
        <f t="shared" si="5"/>
        <v/>
      </c>
      <c r="W1078" s="39" t="str">
        <f>IFERROR(__xludf.DUMMYFUNCTION(" IF(Account!$F1078&lt;&gt;"""", SPLIT(Account!$F1078, "" ""), """")"),"")</f>
        <v/>
      </c>
      <c r="X1078" s="40"/>
      <c r="Y1078" s="40"/>
      <c r="Z1078" s="40"/>
      <c r="AA1078" s="40"/>
      <c r="AB1078" s="40"/>
      <c r="AC1078" s="40"/>
      <c r="AD1078" s="40"/>
      <c r="AE1078" s="40"/>
      <c r="AF1078" s="40"/>
      <c r="AG1078" s="40"/>
      <c r="AH1078" s="40"/>
      <c r="AI1078" s="40"/>
      <c r="AJ1078" s="40"/>
      <c r="AK1078" s="40"/>
    </row>
    <row r="1079">
      <c r="A1079" s="300"/>
      <c r="B1079" s="300"/>
      <c r="C1079" s="300"/>
      <c r="D1079" s="300"/>
      <c r="E1079" s="300"/>
      <c r="F1079" s="329"/>
      <c r="G1079" s="300"/>
      <c r="H1079" s="300"/>
      <c r="I1079" s="300"/>
      <c r="J1079" s="300"/>
      <c r="K1079" s="300"/>
      <c r="L1079" s="329"/>
      <c r="M1079" s="29" t="str">
        <f t="shared" si="1"/>
        <v/>
      </c>
      <c r="N1079" s="31" t="str">
        <f>IFERROR(__xludf.DUMMYFUNCTION("IF(Account!$F1079&lt;&gt;"""", VALUE(REGEXREPLACE($I1079, ""\,"", ""."")), """")"),"")</f>
        <v/>
      </c>
      <c r="O1079" s="33" t="str">
        <f>IF(Account!$F1079&lt;&gt;"", DATEVALUE(MID($A1079,4,3) &amp; LEFT($A1079,3) &amp; RIGHT($A1079,4)) + TIMEVALUE($B1079), "")</f>
        <v/>
      </c>
      <c r="P1079" s="34" t="str">
        <f>IF(Account!$F1079&lt;&gt;"", DATEVALUE(MID($C1079,4,3) &amp; LEFT($C1079,3) &amp; RIGHT($C1079,4)), "")</f>
        <v/>
      </c>
      <c r="Q1079" s="35" t="str">
        <f t="array" ref="Q1079">IF($R1079&lt;&gt;"",IFERROR(INDEX(Investment!$A:$A,MATCH($R1079,Investment!$H:$H,0))),)</f>
        <v/>
      </c>
      <c r="R1079" s="36" t="str">
        <f t="array" ref="R1079">IF(AND($Y1079="change",$H1079="EUR"),IF(AND($AA1079="Crédit",$O1079=$O1080),$R1080,IF(AND($AA1079="Débit",$O1079=$O1078),$R1078)),IF(OR(AND(OR($E1079&lt;&gt;"",$M1079=""),$N1079&lt;&gt;0),$A1079=""),IFERROR(INDEX(Investment!$H:$H,MATCH($E1079,Investment!$F:$F,0))),IFERROR(INDEX($R1080:$R1119,MATCH(SUBSTITUTE($I1079,"-","",1),$K1080:$K1119,0)),INDEX($R1080:$R1119,MATCH($K1079,$K1080:$K1119,0)))))</f>
        <v/>
      </c>
      <c r="S1079" s="35" t="str">
        <f t="shared" si="2"/>
        <v/>
      </c>
      <c r="T1079" s="37" t="str">
        <f t="shared" si="3"/>
        <v/>
      </c>
      <c r="U1079" s="38" t="str">
        <f t="shared" si="4"/>
        <v/>
      </c>
      <c r="V1079" s="31" t="str">
        <f t="shared" si="5"/>
        <v/>
      </c>
      <c r="W1079" s="39" t="str">
        <f>IFERROR(__xludf.DUMMYFUNCTION(" IF(Account!$F1079&lt;&gt;"""", SPLIT(Account!$F1079, "" ""), """")"),"")</f>
        <v/>
      </c>
      <c r="X1079" s="40"/>
      <c r="Y1079" s="40"/>
      <c r="Z1079" s="40"/>
      <c r="AA1079" s="40"/>
      <c r="AB1079" s="40"/>
      <c r="AC1079" s="40"/>
      <c r="AD1079" s="40"/>
      <c r="AE1079" s="40"/>
      <c r="AF1079" s="40"/>
      <c r="AG1079" s="40"/>
      <c r="AH1079" s="40"/>
      <c r="AI1079" s="40"/>
      <c r="AJ1079" s="40"/>
      <c r="AK1079" s="40"/>
    </row>
    <row r="1080">
      <c r="A1080" s="300"/>
      <c r="B1080" s="300"/>
      <c r="C1080" s="300"/>
      <c r="D1080" s="300"/>
      <c r="E1080" s="300"/>
      <c r="F1080" s="329"/>
      <c r="G1080" s="300"/>
      <c r="H1080" s="300"/>
      <c r="I1080" s="300"/>
      <c r="J1080" s="300"/>
      <c r="K1080" s="300"/>
      <c r="L1080" s="329"/>
      <c r="M1080" s="29" t="str">
        <f t="shared" si="1"/>
        <v/>
      </c>
      <c r="N1080" s="31" t="str">
        <f>IFERROR(__xludf.DUMMYFUNCTION("IF(Account!$F1080&lt;&gt;"""", VALUE(REGEXREPLACE($I1080, ""\,"", ""."")), """")"),"")</f>
        <v/>
      </c>
      <c r="O1080" s="33" t="str">
        <f>IF(Account!$F1080&lt;&gt;"", DATEVALUE(MID($A1080,4,3) &amp; LEFT($A1080,3) &amp; RIGHT($A1080,4)) + TIMEVALUE($B1080), "")</f>
        <v/>
      </c>
      <c r="P1080" s="34" t="str">
        <f>IF(Account!$F1080&lt;&gt;"", DATEVALUE(MID($C1080,4,3) &amp; LEFT($C1080,3) &amp; RIGHT($C1080,4)), "")</f>
        <v/>
      </c>
      <c r="Q1080" s="35" t="str">
        <f t="array" ref="Q1080">IF($R1080&lt;&gt;"",IFERROR(INDEX(Investment!$A:$A,MATCH($R1080,Investment!$H:$H,0))),)</f>
        <v/>
      </c>
      <c r="R1080" s="36" t="str">
        <f t="array" ref="R1080">IF(AND($Y1080="change",$H1080="EUR"),IF(AND($AA1080="Crédit",$O1080=$O1081),$R1081,IF(AND($AA1080="Débit",$O1080=$O1079),$R1079)),IF(OR(AND(OR($E1080&lt;&gt;"",$M1080=""),$N1080&lt;&gt;0),$A1080=""),IFERROR(INDEX(Investment!$H:$H,MATCH($E1080,Investment!$F:$F,0))),IFERROR(INDEX($R1081:$R1119,MATCH(SUBSTITUTE($I1080,"-","",1),$K1081:$K1119,0)),INDEX($R1081:$R1119,MATCH($K1080,$K1081:$K1119,0)))))</f>
        <v/>
      </c>
      <c r="S1080" s="35" t="str">
        <f t="shared" si="2"/>
        <v/>
      </c>
      <c r="T1080" s="37" t="str">
        <f t="shared" si="3"/>
        <v/>
      </c>
      <c r="U1080" s="38" t="str">
        <f t="shared" si="4"/>
        <v/>
      </c>
      <c r="V1080" s="31" t="str">
        <f t="shared" si="5"/>
        <v/>
      </c>
      <c r="W1080" s="39" t="str">
        <f>IFERROR(__xludf.DUMMYFUNCTION(" IF(Account!$F1080&lt;&gt;"""", SPLIT(Account!$F1080, "" ""), """")"),"")</f>
        <v/>
      </c>
      <c r="X1080" s="40"/>
      <c r="Y1080" s="40"/>
      <c r="Z1080" s="40"/>
      <c r="AA1080" s="40"/>
      <c r="AB1080" s="40"/>
      <c r="AC1080" s="40"/>
      <c r="AD1080" s="40"/>
      <c r="AE1080" s="40"/>
      <c r="AF1080" s="40"/>
      <c r="AG1080" s="40"/>
      <c r="AH1080" s="40"/>
      <c r="AI1080" s="40"/>
      <c r="AJ1080" s="40"/>
      <c r="AK1080" s="40"/>
    </row>
    <row r="1081">
      <c r="A1081" s="300"/>
      <c r="B1081" s="300"/>
      <c r="C1081" s="300"/>
      <c r="D1081" s="300"/>
      <c r="E1081" s="300"/>
      <c r="F1081" s="329"/>
      <c r="G1081" s="300"/>
      <c r="H1081" s="300"/>
      <c r="I1081" s="300"/>
      <c r="J1081" s="300"/>
      <c r="K1081" s="300"/>
      <c r="L1081" s="329"/>
      <c r="M1081" s="29" t="str">
        <f t="shared" si="1"/>
        <v/>
      </c>
      <c r="N1081" s="31" t="str">
        <f>IFERROR(__xludf.DUMMYFUNCTION("IF(Account!$F1081&lt;&gt;"""", VALUE(REGEXREPLACE($I1081, ""\,"", ""."")), """")"),"")</f>
        <v/>
      </c>
      <c r="O1081" s="33" t="str">
        <f>IF(Account!$F1081&lt;&gt;"", DATEVALUE(MID($A1081,4,3) &amp; LEFT($A1081,3) &amp; RIGHT($A1081,4)) + TIMEVALUE($B1081), "")</f>
        <v/>
      </c>
      <c r="P1081" s="34" t="str">
        <f>IF(Account!$F1081&lt;&gt;"", DATEVALUE(MID($C1081,4,3) &amp; LEFT($C1081,3) &amp; RIGHT($C1081,4)), "")</f>
        <v/>
      </c>
      <c r="Q1081" s="35" t="str">
        <f t="array" ref="Q1081">IF($R1081&lt;&gt;"",IFERROR(INDEX(Investment!$A:$A,MATCH($R1081,Investment!$H:$H,0))),)</f>
        <v/>
      </c>
      <c r="R1081" s="36" t="str">
        <f t="array" ref="R1081">IF(AND($Y1081="change",$H1081="EUR"),IF(AND($AA1081="Crédit",$O1081=$O1082),$R1082,IF(AND($AA1081="Débit",$O1081=$O1080),$R1080)),IF(OR(AND(OR($E1081&lt;&gt;"",$M1081=""),$N1081&lt;&gt;0),$A1081=""),IFERROR(INDEX(Investment!$H:$H,MATCH($E1081,Investment!$F:$F,0))),IFERROR(INDEX($R1082:$R1119,MATCH(SUBSTITUTE($I1081,"-","",1),$K1082:$K1119,0)),INDEX($R1082:$R1119,MATCH($K1081,$K1082:$K1119,0)))))</f>
        <v/>
      </c>
      <c r="S1081" s="35" t="str">
        <f t="shared" si="2"/>
        <v/>
      </c>
      <c r="T1081" s="37" t="str">
        <f t="shared" si="3"/>
        <v/>
      </c>
      <c r="U1081" s="38" t="str">
        <f t="shared" si="4"/>
        <v/>
      </c>
      <c r="V1081" s="31" t="str">
        <f t="shared" si="5"/>
        <v/>
      </c>
      <c r="W1081" s="39" t="str">
        <f>IFERROR(__xludf.DUMMYFUNCTION(" IF(Account!$F1081&lt;&gt;"""", SPLIT(Account!$F1081, "" ""), """")"),"")</f>
        <v/>
      </c>
      <c r="X1081" s="40"/>
      <c r="Y1081" s="40"/>
      <c r="Z1081" s="40"/>
      <c r="AA1081" s="40"/>
      <c r="AB1081" s="40"/>
      <c r="AC1081" s="40"/>
      <c r="AD1081" s="40"/>
      <c r="AE1081" s="40"/>
      <c r="AF1081" s="40"/>
      <c r="AG1081" s="40"/>
      <c r="AH1081" s="40"/>
      <c r="AI1081" s="40"/>
      <c r="AJ1081" s="40"/>
      <c r="AK1081" s="40"/>
    </row>
    <row r="1082">
      <c r="A1082" s="300"/>
      <c r="B1082" s="300"/>
      <c r="C1082" s="300"/>
      <c r="D1082" s="300"/>
      <c r="E1082" s="300"/>
      <c r="F1082" s="329"/>
      <c r="G1082" s="300"/>
      <c r="H1082" s="300"/>
      <c r="I1082" s="300"/>
      <c r="J1082" s="300"/>
      <c r="K1082" s="300"/>
      <c r="L1082" s="329"/>
      <c r="M1082" s="29" t="str">
        <f t="shared" si="1"/>
        <v/>
      </c>
      <c r="N1082" s="31" t="str">
        <f>IFERROR(__xludf.DUMMYFUNCTION("IF(Account!$F1082&lt;&gt;"""", VALUE(REGEXREPLACE($I1082, ""\,"", ""."")), """")"),"")</f>
        <v/>
      </c>
      <c r="O1082" s="33" t="str">
        <f>IF(Account!$F1082&lt;&gt;"", DATEVALUE(MID($A1082,4,3) &amp; LEFT($A1082,3) &amp; RIGHT($A1082,4)) + TIMEVALUE($B1082), "")</f>
        <v/>
      </c>
      <c r="P1082" s="34" t="str">
        <f>IF(Account!$F1082&lt;&gt;"", DATEVALUE(MID($C1082,4,3) &amp; LEFT($C1082,3) &amp; RIGHT($C1082,4)), "")</f>
        <v/>
      </c>
      <c r="Q1082" s="35" t="str">
        <f t="array" ref="Q1082">IF($R1082&lt;&gt;"",IFERROR(INDEX(Investment!$A:$A,MATCH($R1082,Investment!$H:$H,0))),)</f>
        <v/>
      </c>
      <c r="R1082" s="36" t="str">
        <f t="array" ref="R1082">IF(AND($Y1082="change",$H1082="EUR"),IF(AND($AA1082="Crédit",$O1082=$O1083),$R1083,IF(AND($AA1082="Débit",$O1082=$O1081),$R1081)),IF(OR(AND(OR($E1082&lt;&gt;"",$M1082=""),$N1082&lt;&gt;0),$A1082=""),IFERROR(INDEX(Investment!$H:$H,MATCH($E1082,Investment!$F:$F,0))),IFERROR(INDEX($R1083:$R1119,MATCH(SUBSTITUTE($I1082,"-","",1),$K1083:$K1119,0)),INDEX($R1083:$R1119,MATCH($K1082,$K1083:$K1119,0)))))</f>
        <v/>
      </c>
      <c r="S1082" s="35" t="str">
        <f t="shared" si="2"/>
        <v/>
      </c>
      <c r="T1082" s="37" t="str">
        <f t="shared" si="3"/>
        <v/>
      </c>
      <c r="U1082" s="38" t="str">
        <f t="shared" si="4"/>
        <v/>
      </c>
      <c r="V1082" s="31" t="str">
        <f t="shared" si="5"/>
        <v/>
      </c>
      <c r="W1082" s="39" t="str">
        <f>IFERROR(__xludf.DUMMYFUNCTION(" IF(Account!$F1082&lt;&gt;"""", SPLIT(Account!$F1082, "" ""), """")"),"")</f>
        <v/>
      </c>
      <c r="X1082" s="40"/>
      <c r="Y1082" s="40"/>
      <c r="Z1082" s="40"/>
      <c r="AA1082" s="40"/>
      <c r="AB1082" s="40"/>
      <c r="AC1082" s="40"/>
      <c r="AD1082" s="40"/>
      <c r="AE1082" s="40"/>
      <c r="AF1082" s="40"/>
      <c r="AG1082" s="40"/>
      <c r="AH1082" s="40"/>
      <c r="AI1082" s="40"/>
      <c r="AJ1082" s="40"/>
      <c r="AK1082" s="40"/>
    </row>
    <row r="1083">
      <c r="A1083" s="300"/>
      <c r="B1083" s="300"/>
      <c r="C1083" s="300"/>
      <c r="D1083" s="300"/>
      <c r="E1083" s="300"/>
      <c r="F1083" s="329"/>
      <c r="G1083" s="300"/>
      <c r="H1083" s="300"/>
      <c r="I1083" s="300"/>
      <c r="J1083" s="300"/>
      <c r="K1083" s="300"/>
      <c r="L1083" s="329"/>
      <c r="M1083" s="29" t="str">
        <f t="shared" si="1"/>
        <v/>
      </c>
      <c r="N1083" s="31" t="str">
        <f>IFERROR(__xludf.DUMMYFUNCTION("IF(Account!$F1083&lt;&gt;"""", VALUE(REGEXREPLACE($I1083, ""\,"", ""."")), """")"),"")</f>
        <v/>
      </c>
      <c r="O1083" s="33" t="str">
        <f>IF(Account!$F1083&lt;&gt;"", DATEVALUE(MID($A1083,4,3) &amp; LEFT($A1083,3) &amp; RIGHT($A1083,4)) + TIMEVALUE($B1083), "")</f>
        <v/>
      </c>
      <c r="P1083" s="34" t="str">
        <f>IF(Account!$F1083&lt;&gt;"", DATEVALUE(MID($C1083,4,3) &amp; LEFT($C1083,3) &amp; RIGHT($C1083,4)), "")</f>
        <v/>
      </c>
      <c r="Q1083" s="35" t="str">
        <f t="array" ref="Q1083">IF($R1083&lt;&gt;"",IFERROR(INDEX(Investment!$A:$A,MATCH($R1083,Investment!$H:$H,0))),)</f>
        <v/>
      </c>
      <c r="R1083" s="36" t="str">
        <f t="array" ref="R1083">IF(AND($Y1083="change",$H1083="EUR"),IF(AND($AA1083="Crédit",$O1083=$O1084),$R1084,IF(AND($AA1083="Débit",$O1083=$O1082),$R1082)),IF(OR(AND(OR($E1083&lt;&gt;"",$M1083=""),$N1083&lt;&gt;0),$A1083=""),IFERROR(INDEX(Investment!$H:$H,MATCH($E1083,Investment!$F:$F,0))),IFERROR(INDEX($R1084:$R1119,MATCH(SUBSTITUTE($I1083,"-","",1),$K1084:$K1119,0)),INDEX($R1084:$R1119,MATCH($K1083,$K1084:$K1119,0)))))</f>
        <v/>
      </c>
      <c r="S1083" s="35" t="str">
        <f t="shared" si="2"/>
        <v/>
      </c>
      <c r="T1083" s="37" t="str">
        <f t="shared" si="3"/>
        <v/>
      </c>
      <c r="U1083" s="38" t="str">
        <f t="shared" si="4"/>
        <v/>
      </c>
      <c r="V1083" s="31" t="str">
        <f t="shared" si="5"/>
        <v/>
      </c>
      <c r="W1083" s="39" t="str">
        <f>IFERROR(__xludf.DUMMYFUNCTION(" IF(Account!$F1083&lt;&gt;"""", SPLIT(Account!$F1083, "" ""), """")"),"")</f>
        <v/>
      </c>
      <c r="X1083" s="40"/>
      <c r="Y1083" s="40"/>
      <c r="Z1083" s="40"/>
      <c r="AA1083" s="40"/>
      <c r="AB1083" s="40"/>
      <c r="AC1083" s="40"/>
      <c r="AD1083" s="40"/>
      <c r="AE1083" s="40"/>
      <c r="AF1083" s="40"/>
      <c r="AG1083" s="40"/>
      <c r="AH1083" s="40"/>
      <c r="AI1083" s="40"/>
      <c r="AJ1083" s="40"/>
      <c r="AK1083" s="40"/>
    </row>
    <row r="1084">
      <c r="A1084" s="300"/>
      <c r="B1084" s="300"/>
      <c r="C1084" s="300"/>
      <c r="D1084" s="300"/>
      <c r="E1084" s="300"/>
      <c r="F1084" s="329"/>
      <c r="G1084" s="300"/>
      <c r="H1084" s="300"/>
      <c r="I1084" s="300"/>
      <c r="J1084" s="300"/>
      <c r="K1084" s="300"/>
      <c r="L1084" s="329"/>
      <c r="M1084" s="29" t="str">
        <f t="shared" si="1"/>
        <v/>
      </c>
      <c r="N1084" s="31" t="str">
        <f>IFERROR(__xludf.DUMMYFUNCTION("IF(Account!$F1084&lt;&gt;"""", VALUE(REGEXREPLACE($I1084, ""\,"", ""."")), """")"),"")</f>
        <v/>
      </c>
      <c r="O1084" s="33" t="str">
        <f>IF(Account!$F1084&lt;&gt;"", DATEVALUE(MID($A1084,4,3) &amp; LEFT($A1084,3) &amp; RIGHT($A1084,4)) + TIMEVALUE($B1084), "")</f>
        <v/>
      </c>
      <c r="P1084" s="34" t="str">
        <f>IF(Account!$F1084&lt;&gt;"", DATEVALUE(MID($C1084,4,3) &amp; LEFT($C1084,3) &amp; RIGHT($C1084,4)), "")</f>
        <v/>
      </c>
      <c r="Q1084" s="35" t="str">
        <f t="array" ref="Q1084">IF($R1084&lt;&gt;"",IFERROR(INDEX(Investment!$A:$A,MATCH($R1084,Investment!$H:$H,0))),)</f>
        <v/>
      </c>
      <c r="R1084" s="36" t="str">
        <f t="array" ref="R1084">IF(AND($Y1084="change",$H1084="EUR"),IF(AND($AA1084="Crédit",$O1084=$O1085),$R1085,IF(AND($AA1084="Débit",$O1084=$O1083),$R1083)),IF(OR(AND(OR($E1084&lt;&gt;"",$M1084=""),$N1084&lt;&gt;0),$A1084=""),IFERROR(INDEX(Investment!$H:$H,MATCH($E1084,Investment!$F:$F,0))),IFERROR(INDEX($R1085:$R1119,MATCH(SUBSTITUTE($I1084,"-","",1),$K1085:$K1119,0)),INDEX($R1085:$R1119,MATCH($K1084,$K1085:$K1119,0)))))</f>
        <v/>
      </c>
      <c r="S1084" s="35" t="str">
        <f t="shared" si="2"/>
        <v/>
      </c>
      <c r="T1084" s="37" t="str">
        <f t="shared" si="3"/>
        <v/>
      </c>
      <c r="U1084" s="38" t="str">
        <f t="shared" si="4"/>
        <v/>
      </c>
      <c r="V1084" s="31" t="str">
        <f t="shared" si="5"/>
        <v/>
      </c>
      <c r="W1084" s="39" t="str">
        <f>IFERROR(__xludf.DUMMYFUNCTION(" IF(Account!$F1084&lt;&gt;"""", SPLIT(Account!$F1084, "" ""), """")"),"")</f>
        <v/>
      </c>
      <c r="X1084" s="40"/>
      <c r="Y1084" s="40"/>
      <c r="Z1084" s="40"/>
      <c r="AA1084" s="40"/>
      <c r="AB1084" s="40"/>
      <c r="AC1084" s="40"/>
      <c r="AD1084" s="40"/>
      <c r="AE1084" s="40"/>
      <c r="AF1084" s="40"/>
      <c r="AG1084" s="40"/>
      <c r="AH1084" s="40"/>
      <c r="AI1084" s="40"/>
      <c r="AJ1084" s="40"/>
      <c r="AK1084" s="40"/>
    </row>
    <row r="1085">
      <c r="A1085" s="300"/>
      <c r="B1085" s="300"/>
      <c r="C1085" s="300"/>
      <c r="D1085" s="300"/>
      <c r="E1085" s="300"/>
      <c r="F1085" s="329"/>
      <c r="G1085" s="300"/>
      <c r="H1085" s="300"/>
      <c r="I1085" s="300"/>
      <c r="J1085" s="300"/>
      <c r="K1085" s="300"/>
      <c r="L1085" s="329"/>
      <c r="M1085" s="29" t="str">
        <f t="shared" si="1"/>
        <v/>
      </c>
      <c r="N1085" s="31" t="str">
        <f>IFERROR(__xludf.DUMMYFUNCTION("IF(Account!$F1085&lt;&gt;"""", VALUE(REGEXREPLACE($I1085, ""\,"", ""."")), """")"),"")</f>
        <v/>
      </c>
      <c r="O1085" s="33" t="str">
        <f>IF(Account!$F1085&lt;&gt;"", DATEVALUE(MID($A1085,4,3) &amp; LEFT($A1085,3) &amp; RIGHT($A1085,4)) + TIMEVALUE($B1085), "")</f>
        <v/>
      </c>
      <c r="P1085" s="34" t="str">
        <f>IF(Account!$F1085&lt;&gt;"", DATEVALUE(MID($C1085,4,3) &amp; LEFT($C1085,3) &amp; RIGHT($C1085,4)), "")</f>
        <v/>
      </c>
      <c r="Q1085" s="35" t="str">
        <f t="array" ref="Q1085">IF($R1085&lt;&gt;"",IFERROR(INDEX(Investment!$A:$A,MATCH($R1085,Investment!$H:$H,0))),)</f>
        <v/>
      </c>
      <c r="R1085" s="36" t="str">
        <f t="array" ref="R1085">IF(AND($Y1085="change",$H1085="EUR"),IF(AND($AA1085="Crédit",$O1085=$O1086),$R1086,IF(AND($AA1085="Débit",$O1085=$O1084),$R1084)),IF(OR(AND(OR($E1085&lt;&gt;"",$M1085=""),$N1085&lt;&gt;0),$A1085=""),IFERROR(INDEX(Investment!$H:$H,MATCH($E1085,Investment!$F:$F,0))),IFERROR(INDEX($R1086:$R1119,MATCH(SUBSTITUTE($I1085,"-","",1),$K1086:$K1119,0)),INDEX($R1086:$R1119,MATCH($K1085,$K1086:$K1119,0)))))</f>
        <v/>
      </c>
      <c r="S1085" s="35" t="str">
        <f t="shared" si="2"/>
        <v/>
      </c>
      <c r="T1085" s="37" t="str">
        <f t="shared" si="3"/>
        <v/>
      </c>
      <c r="U1085" s="38" t="str">
        <f t="shared" si="4"/>
        <v/>
      </c>
      <c r="V1085" s="31" t="str">
        <f t="shared" si="5"/>
        <v/>
      </c>
      <c r="W1085" s="39" t="str">
        <f>IFERROR(__xludf.DUMMYFUNCTION(" IF(Account!$F1085&lt;&gt;"""", SPLIT(Account!$F1085, "" ""), """")"),"")</f>
        <v/>
      </c>
      <c r="X1085" s="40"/>
      <c r="Y1085" s="40"/>
      <c r="Z1085" s="40"/>
      <c r="AA1085" s="40"/>
      <c r="AB1085" s="40"/>
      <c r="AC1085" s="40"/>
      <c r="AD1085" s="40"/>
      <c r="AE1085" s="40"/>
      <c r="AF1085" s="40"/>
      <c r="AG1085" s="40"/>
      <c r="AH1085" s="40"/>
      <c r="AI1085" s="40"/>
      <c r="AJ1085" s="40"/>
      <c r="AK1085" s="40"/>
    </row>
    <row r="1086">
      <c r="A1086" s="300"/>
      <c r="B1086" s="300"/>
      <c r="C1086" s="300"/>
      <c r="D1086" s="300"/>
      <c r="E1086" s="300"/>
      <c r="F1086" s="329"/>
      <c r="G1086" s="300"/>
      <c r="H1086" s="300"/>
      <c r="I1086" s="300"/>
      <c r="J1086" s="300"/>
      <c r="K1086" s="300"/>
      <c r="L1086" s="329"/>
      <c r="M1086" s="29" t="str">
        <f t="shared" si="1"/>
        <v/>
      </c>
      <c r="N1086" s="31" t="str">
        <f>IFERROR(__xludf.DUMMYFUNCTION("IF(Account!$F1086&lt;&gt;"""", VALUE(REGEXREPLACE($I1086, ""\,"", ""."")), """")"),"")</f>
        <v/>
      </c>
      <c r="O1086" s="33" t="str">
        <f>IF(Account!$F1086&lt;&gt;"", DATEVALUE(MID($A1086,4,3) &amp; LEFT($A1086,3) &amp; RIGHT($A1086,4)) + TIMEVALUE($B1086), "")</f>
        <v/>
      </c>
      <c r="P1086" s="34" t="str">
        <f>IF(Account!$F1086&lt;&gt;"", DATEVALUE(MID($C1086,4,3) &amp; LEFT($C1086,3) &amp; RIGHT($C1086,4)), "")</f>
        <v/>
      </c>
      <c r="Q1086" s="35" t="str">
        <f t="array" ref="Q1086">IF($R1086&lt;&gt;"",IFERROR(INDEX(Investment!$A:$A,MATCH($R1086,Investment!$H:$H,0))),)</f>
        <v/>
      </c>
      <c r="R1086" s="36" t="str">
        <f t="array" ref="R1086">IF(AND($Y1086="change",$H1086="EUR"),IF(AND($AA1086="Crédit",$O1086=$O1087),$R1087,IF(AND($AA1086="Débit",$O1086=$O1085),$R1085)),IF(OR(AND(OR($E1086&lt;&gt;"",$M1086=""),$N1086&lt;&gt;0),$A1086=""),IFERROR(INDEX(Investment!$H:$H,MATCH($E1086,Investment!$F:$F,0))),IFERROR(INDEX($R1087:$R1119,MATCH(SUBSTITUTE($I1086,"-","",1),$K1087:$K1119,0)),INDEX($R1087:$R1119,MATCH($K1086,$K1087:$K1119,0)))))</f>
        <v/>
      </c>
      <c r="S1086" s="35" t="str">
        <f t="shared" si="2"/>
        <v/>
      </c>
      <c r="T1086" s="37" t="str">
        <f t="shared" si="3"/>
        <v/>
      </c>
      <c r="U1086" s="38" t="str">
        <f t="shared" si="4"/>
        <v/>
      </c>
      <c r="V1086" s="31" t="str">
        <f t="shared" si="5"/>
        <v/>
      </c>
      <c r="W1086" s="39" t="str">
        <f>IFERROR(__xludf.DUMMYFUNCTION(" IF(Account!$F1086&lt;&gt;"""", SPLIT(Account!$F1086, "" ""), """")"),"")</f>
        <v/>
      </c>
      <c r="X1086" s="40"/>
      <c r="Y1086" s="40"/>
      <c r="Z1086" s="40"/>
      <c r="AA1086" s="40"/>
      <c r="AB1086" s="40"/>
      <c r="AC1086" s="40"/>
      <c r="AD1086" s="40"/>
      <c r="AE1086" s="40"/>
      <c r="AF1086" s="40"/>
      <c r="AG1086" s="40"/>
      <c r="AH1086" s="40"/>
      <c r="AI1086" s="40"/>
      <c r="AJ1086" s="40"/>
      <c r="AK1086" s="40"/>
    </row>
    <row r="1087">
      <c r="A1087" s="300"/>
      <c r="B1087" s="300"/>
      <c r="C1087" s="300"/>
      <c r="D1087" s="300"/>
      <c r="E1087" s="300"/>
      <c r="F1087" s="329"/>
      <c r="G1087" s="300"/>
      <c r="H1087" s="300"/>
      <c r="I1087" s="300"/>
      <c r="J1087" s="300"/>
      <c r="K1087" s="300"/>
      <c r="L1087" s="329"/>
      <c r="M1087" s="29" t="str">
        <f t="shared" si="1"/>
        <v/>
      </c>
      <c r="N1087" s="31" t="str">
        <f>IFERROR(__xludf.DUMMYFUNCTION("IF(Account!$F1087&lt;&gt;"""", VALUE(REGEXREPLACE($I1087, ""\,"", ""."")), """")"),"")</f>
        <v/>
      </c>
      <c r="O1087" s="33" t="str">
        <f>IF(Account!$F1087&lt;&gt;"", DATEVALUE(MID($A1087,4,3) &amp; LEFT($A1087,3) &amp; RIGHT($A1087,4)) + TIMEVALUE($B1087), "")</f>
        <v/>
      </c>
      <c r="P1087" s="34" t="str">
        <f>IF(Account!$F1087&lt;&gt;"", DATEVALUE(MID($C1087,4,3) &amp; LEFT($C1087,3) &amp; RIGHT($C1087,4)), "")</f>
        <v/>
      </c>
      <c r="Q1087" s="35" t="str">
        <f t="array" ref="Q1087">IF($R1087&lt;&gt;"",IFERROR(INDEX(Investment!$A:$A,MATCH($R1087,Investment!$H:$H,0))),)</f>
        <v/>
      </c>
      <c r="R1087" s="36" t="str">
        <f t="array" ref="R1087">IF(AND($Y1087="change",$H1087="EUR"),IF(AND($AA1087="Crédit",$O1087=$O1088),$R1088,IF(AND($AA1087="Débit",$O1087=$O1086),$R1086)),IF(OR(AND(OR($E1087&lt;&gt;"",$M1087=""),$N1087&lt;&gt;0),$A1087=""),IFERROR(INDEX(Investment!$H:$H,MATCH($E1087,Investment!$F:$F,0))),IFERROR(INDEX($R1088:$R1119,MATCH(SUBSTITUTE($I1087,"-","",1),$K1088:$K1119,0)),INDEX($R1088:$R1119,MATCH($K1087,$K1088:$K1119,0)))))</f>
        <v/>
      </c>
      <c r="S1087" s="35" t="str">
        <f t="shared" si="2"/>
        <v/>
      </c>
      <c r="T1087" s="37" t="str">
        <f t="shared" si="3"/>
        <v/>
      </c>
      <c r="U1087" s="38" t="str">
        <f t="shared" si="4"/>
        <v/>
      </c>
      <c r="V1087" s="31" t="str">
        <f t="shared" si="5"/>
        <v/>
      </c>
      <c r="W1087" s="39" t="str">
        <f>IFERROR(__xludf.DUMMYFUNCTION(" IF(Account!$F1087&lt;&gt;"""", SPLIT(Account!$F1087, "" ""), """")"),"")</f>
        <v/>
      </c>
      <c r="X1087" s="40"/>
      <c r="Y1087" s="40"/>
      <c r="Z1087" s="40"/>
      <c r="AA1087" s="40"/>
      <c r="AB1087" s="40"/>
      <c r="AC1087" s="40"/>
      <c r="AD1087" s="40"/>
      <c r="AE1087" s="40"/>
      <c r="AF1087" s="40"/>
      <c r="AG1087" s="40"/>
      <c r="AH1087" s="40"/>
      <c r="AI1087" s="40"/>
      <c r="AJ1087" s="40"/>
      <c r="AK1087" s="40"/>
    </row>
    <row r="1088">
      <c r="A1088" s="300"/>
      <c r="B1088" s="300"/>
      <c r="C1088" s="300"/>
      <c r="D1088" s="300"/>
      <c r="E1088" s="300"/>
      <c r="F1088" s="329"/>
      <c r="G1088" s="300"/>
      <c r="H1088" s="300"/>
      <c r="I1088" s="300"/>
      <c r="J1088" s="300"/>
      <c r="K1088" s="300"/>
      <c r="L1088" s="329"/>
      <c r="M1088" s="29" t="str">
        <f t="shared" si="1"/>
        <v/>
      </c>
      <c r="N1088" s="31" t="str">
        <f>IFERROR(__xludf.DUMMYFUNCTION("IF(Account!$F1088&lt;&gt;"""", VALUE(REGEXREPLACE($I1088, ""\,"", ""."")), """")"),"")</f>
        <v/>
      </c>
      <c r="O1088" s="33" t="str">
        <f>IF(Account!$F1088&lt;&gt;"", DATEVALUE(MID($A1088,4,3) &amp; LEFT($A1088,3) &amp; RIGHT($A1088,4)) + TIMEVALUE($B1088), "")</f>
        <v/>
      </c>
      <c r="P1088" s="34" t="str">
        <f>IF(Account!$F1088&lt;&gt;"", DATEVALUE(MID($C1088,4,3) &amp; LEFT($C1088,3) &amp; RIGHT($C1088,4)), "")</f>
        <v/>
      </c>
      <c r="Q1088" s="35" t="str">
        <f t="array" ref="Q1088">IF($R1088&lt;&gt;"",IFERROR(INDEX(Investment!$A:$A,MATCH($R1088,Investment!$H:$H,0))),)</f>
        <v/>
      </c>
      <c r="R1088" s="36" t="str">
        <f t="array" ref="R1088">IF(AND($Y1088="change",$H1088="EUR"),IF(AND($AA1088="Crédit",$O1088=$O1089),$R1089,IF(AND($AA1088="Débit",$O1088=$O1087),$R1087)),IF(OR(AND(OR($E1088&lt;&gt;"",$M1088=""),$N1088&lt;&gt;0),$A1088=""),IFERROR(INDEX(Investment!$H:$H,MATCH($E1088,Investment!$F:$F,0))),IFERROR(INDEX($R1089:$R1119,MATCH(SUBSTITUTE($I1088,"-","",1),$K1089:$K1119,0)),INDEX($R1089:$R1119,MATCH($K1088,$K1089:$K1119,0)))))</f>
        <v/>
      </c>
      <c r="S1088" s="35" t="str">
        <f t="shared" si="2"/>
        <v/>
      </c>
      <c r="T1088" s="37" t="str">
        <f t="shared" si="3"/>
        <v/>
      </c>
      <c r="U1088" s="38" t="str">
        <f t="shared" si="4"/>
        <v/>
      </c>
      <c r="V1088" s="31" t="str">
        <f t="shared" si="5"/>
        <v/>
      </c>
      <c r="W1088" s="39" t="str">
        <f>IFERROR(__xludf.DUMMYFUNCTION(" IF(Account!$F1088&lt;&gt;"""", SPLIT(Account!$F1088, "" ""), """")"),"")</f>
        <v/>
      </c>
      <c r="X1088" s="40"/>
      <c r="Y1088" s="40"/>
      <c r="Z1088" s="40"/>
      <c r="AA1088" s="40"/>
      <c r="AB1088" s="40"/>
      <c r="AC1088" s="40"/>
      <c r="AD1088" s="40"/>
      <c r="AE1088" s="40"/>
      <c r="AF1088" s="40"/>
      <c r="AG1088" s="40"/>
      <c r="AH1088" s="40"/>
      <c r="AI1088" s="40"/>
      <c r="AJ1088" s="40"/>
      <c r="AK1088" s="40"/>
    </row>
    <row r="1089">
      <c r="A1089" s="300"/>
      <c r="B1089" s="300"/>
      <c r="C1089" s="300"/>
      <c r="D1089" s="300"/>
      <c r="E1089" s="300"/>
      <c r="F1089" s="329"/>
      <c r="G1089" s="300"/>
      <c r="H1089" s="300"/>
      <c r="I1089" s="300"/>
      <c r="J1089" s="300"/>
      <c r="K1089" s="300"/>
      <c r="L1089" s="329"/>
      <c r="M1089" s="29" t="str">
        <f t="shared" si="1"/>
        <v/>
      </c>
      <c r="N1089" s="31" t="str">
        <f>IFERROR(__xludf.DUMMYFUNCTION("IF(Account!$F1089&lt;&gt;"""", VALUE(REGEXREPLACE($I1089, ""\,"", ""."")), """")"),"")</f>
        <v/>
      </c>
      <c r="O1089" s="33" t="str">
        <f>IF(Account!$F1089&lt;&gt;"", DATEVALUE(MID($A1089,4,3) &amp; LEFT($A1089,3) &amp; RIGHT($A1089,4)) + TIMEVALUE($B1089), "")</f>
        <v/>
      </c>
      <c r="P1089" s="34" t="str">
        <f>IF(Account!$F1089&lt;&gt;"", DATEVALUE(MID($C1089,4,3) &amp; LEFT($C1089,3) &amp; RIGHT($C1089,4)), "")</f>
        <v/>
      </c>
      <c r="Q1089" s="35" t="str">
        <f t="array" ref="Q1089">IF($R1089&lt;&gt;"",IFERROR(INDEX(Investment!$A:$A,MATCH($R1089,Investment!$H:$H,0))),)</f>
        <v/>
      </c>
      <c r="R1089" s="36" t="str">
        <f t="array" ref="R1089">IF(AND($Y1089="change",$H1089="EUR"),IF(AND($AA1089="Crédit",$O1089=$O1090),$R1090,IF(AND($AA1089="Débit",$O1089=$O1088),$R1088)),IF(OR(AND(OR($E1089&lt;&gt;"",$M1089=""),$N1089&lt;&gt;0),$A1089=""),IFERROR(INDEX(Investment!$H:$H,MATCH($E1089,Investment!$F:$F,0))),IFERROR(INDEX($R1090:$R1119,MATCH(SUBSTITUTE($I1089,"-","",1),$K1090:$K1119,0)),INDEX($R1090:$R1119,MATCH($K1089,$K1090:$K1119,0)))))</f>
        <v/>
      </c>
      <c r="S1089" s="35" t="str">
        <f t="shared" si="2"/>
        <v/>
      </c>
      <c r="T1089" s="37" t="str">
        <f t="shared" si="3"/>
        <v/>
      </c>
      <c r="U1089" s="38" t="str">
        <f t="shared" si="4"/>
        <v/>
      </c>
      <c r="V1089" s="31" t="str">
        <f t="shared" si="5"/>
        <v/>
      </c>
      <c r="W1089" s="39" t="str">
        <f>IFERROR(__xludf.DUMMYFUNCTION(" IF(Account!$F1089&lt;&gt;"""", SPLIT(Account!$F1089, "" ""), """")"),"")</f>
        <v/>
      </c>
      <c r="X1089" s="40"/>
      <c r="Y1089" s="40"/>
      <c r="Z1089" s="40"/>
      <c r="AA1089" s="40"/>
      <c r="AB1089" s="40"/>
      <c r="AC1089" s="40"/>
      <c r="AD1089" s="40"/>
      <c r="AE1089" s="40"/>
      <c r="AF1089" s="40"/>
      <c r="AG1089" s="40"/>
      <c r="AH1089" s="40"/>
      <c r="AI1089" s="40"/>
      <c r="AJ1089" s="40"/>
      <c r="AK1089" s="40"/>
    </row>
    <row r="1090">
      <c r="A1090" s="300"/>
      <c r="B1090" s="300"/>
      <c r="C1090" s="300"/>
      <c r="D1090" s="300"/>
      <c r="E1090" s="300"/>
      <c r="F1090" s="329"/>
      <c r="G1090" s="300"/>
      <c r="H1090" s="300"/>
      <c r="I1090" s="300"/>
      <c r="J1090" s="300"/>
      <c r="K1090" s="300"/>
      <c r="L1090" s="329"/>
      <c r="M1090" s="29" t="str">
        <f t="shared" si="1"/>
        <v/>
      </c>
      <c r="N1090" s="31" t="str">
        <f>IFERROR(__xludf.DUMMYFUNCTION("IF(Account!$F1090&lt;&gt;"""", VALUE(REGEXREPLACE($I1090, ""\,"", ""."")), """")"),"")</f>
        <v/>
      </c>
      <c r="O1090" s="33" t="str">
        <f>IF(Account!$F1090&lt;&gt;"", DATEVALUE(MID($A1090,4,3) &amp; LEFT($A1090,3) &amp; RIGHT($A1090,4)) + TIMEVALUE($B1090), "")</f>
        <v/>
      </c>
      <c r="P1090" s="34" t="str">
        <f>IF(Account!$F1090&lt;&gt;"", DATEVALUE(MID($C1090,4,3) &amp; LEFT($C1090,3) &amp; RIGHT($C1090,4)), "")</f>
        <v/>
      </c>
      <c r="Q1090" s="35" t="str">
        <f t="array" ref="Q1090">IF($R1090&lt;&gt;"",IFERROR(INDEX(Investment!$A:$A,MATCH($R1090,Investment!$H:$H,0))),)</f>
        <v/>
      </c>
      <c r="R1090" s="36" t="str">
        <f t="array" ref="R1090">IF(AND($Y1090="change",$H1090="EUR"),IF(AND($AA1090="Crédit",$O1090=$O1091),$R1091,IF(AND($AA1090="Débit",$O1090=$O1089),$R1089)),IF(OR(AND(OR($E1090&lt;&gt;"",$M1090=""),$N1090&lt;&gt;0),$A1090=""),IFERROR(INDEX(Investment!$H:$H,MATCH($E1090,Investment!$F:$F,0))),IFERROR(INDEX($R1091:$R1119,MATCH(SUBSTITUTE($I1090,"-","",1),$K1091:$K1119,0)),INDEX($R1091:$R1119,MATCH($K1090,$K1091:$K1119,0)))))</f>
        <v/>
      </c>
      <c r="S1090" s="35" t="str">
        <f t="shared" si="2"/>
        <v/>
      </c>
      <c r="T1090" s="37" t="str">
        <f t="shared" si="3"/>
        <v/>
      </c>
      <c r="U1090" s="38" t="str">
        <f t="shared" si="4"/>
        <v/>
      </c>
      <c r="V1090" s="31" t="str">
        <f t="shared" si="5"/>
        <v/>
      </c>
      <c r="W1090" s="39" t="str">
        <f>IFERROR(__xludf.DUMMYFUNCTION(" IF(Account!$F1090&lt;&gt;"""", SPLIT(Account!$F1090, "" ""), """")"),"")</f>
        <v/>
      </c>
      <c r="X1090" s="40"/>
      <c r="Y1090" s="40"/>
      <c r="Z1090" s="40"/>
      <c r="AA1090" s="40"/>
      <c r="AB1090" s="40"/>
      <c r="AC1090" s="40"/>
      <c r="AD1090" s="40"/>
      <c r="AE1090" s="40"/>
      <c r="AF1090" s="40"/>
      <c r="AG1090" s="40"/>
      <c r="AH1090" s="40"/>
      <c r="AI1090" s="40"/>
      <c r="AJ1090" s="40"/>
      <c r="AK1090" s="40"/>
    </row>
    <row r="1091">
      <c r="A1091" s="300"/>
      <c r="B1091" s="300"/>
      <c r="C1091" s="300"/>
      <c r="D1091" s="300"/>
      <c r="E1091" s="300"/>
      <c r="F1091" s="329"/>
      <c r="G1091" s="300"/>
      <c r="H1091" s="300"/>
      <c r="I1091" s="300"/>
      <c r="J1091" s="300"/>
      <c r="K1091" s="300"/>
      <c r="L1091" s="329"/>
      <c r="M1091" s="29" t="str">
        <f t="shared" si="1"/>
        <v/>
      </c>
      <c r="N1091" s="31" t="str">
        <f>IFERROR(__xludf.DUMMYFUNCTION("IF(Account!$F1091&lt;&gt;"""", VALUE(REGEXREPLACE($I1091, ""\,"", ""."")), """")"),"")</f>
        <v/>
      </c>
      <c r="O1091" s="33" t="str">
        <f>IF(Account!$F1091&lt;&gt;"", DATEVALUE(MID($A1091,4,3) &amp; LEFT($A1091,3) &amp; RIGHT($A1091,4)) + TIMEVALUE($B1091), "")</f>
        <v/>
      </c>
      <c r="P1091" s="34" t="str">
        <f>IF(Account!$F1091&lt;&gt;"", DATEVALUE(MID($C1091,4,3) &amp; LEFT($C1091,3) &amp; RIGHT($C1091,4)), "")</f>
        <v/>
      </c>
      <c r="Q1091" s="35" t="str">
        <f t="array" ref="Q1091">IF($R1091&lt;&gt;"",IFERROR(INDEX(Investment!$A:$A,MATCH($R1091,Investment!$H:$H,0))),)</f>
        <v/>
      </c>
      <c r="R1091" s="36" t="str">
        <f t="array" ref="R1091">IF(AND($Y1091="change",$H1091="EUR"),IF(AND($AA1091="Crédit",$O1091=$O1092),$R1092,IF(AND($AA1091="Débit",$O1091=$O1090),$R1090)),IF(OR(AND(OR($E1091&lt;&gt;"",$M1091=""),$N1091&lt;&gt;0),$A1091=""),IFERROR(INDEX(Investment!$H:$H,MATCH($E1091,Investment!$F:$F,0))),IFERROR(INDEX($R1092:$R1119,MATCH(SUBSTITUTE($I1091,"-","",1),$K1092:$K1119,0)),INDEX($R1092:$R1119,MATCH($K1091,$K1092:$K1119,0)))))</f>
        <v/>
      </c>
      <c r="S1091" s="35" t="str">
        <f t="shared" si="2"/>
        <v/>
      </c>
      <c r="T1091" s="37" t="str">
        <f t="shared" si="3"/>
        <v/>
      </c>
      <c r="U1091" s="38" t="str">
        <f t="shared" si="4"/>
        <v/>
      </c>
      <c r="V1091" s="31" t="str">
        <f t="shared" si="5"/>
        <v/>
      </c>
      <c r="W1091" s="39" t="str">
        <f>IFERROR(__xludf.DUMMYFUNCTION(" IF(Account!$F1091&lt;&gt;"""", SPLIT(Account!$F1091, "" ""), """")"),"")</f>
        <v/>
      </c>
      <c r="X1091" s="40"/>
      <c r="Y1091" s="40"/>
      <c r="Z1091" s="40"/>
      <c r="AA1091" s="40"/>
      <c r="AB1091" s="40"/>
      <c r="AC1091" s="40"/>
      <c r="AD1091" s="40"/>
      <c r="AE1091" s="40"/>
      <c r="AF1091" s="40"/>
      <c r="AG1091" s="40"/>
      <c r="AH1091" s="40"/>
      <c r="AI1091" s="40"/>
      <c r="AJ1091" s="40"/>
      <c r="AK1091" s="40"/>
    </row>
    <row r="1092">
      <c r="A1092" s="300"/>
      <c r="B1092" s="300"/>
      <c r="C1092" s="300"/>
      <c r="D1092" s="300"/>
      <c r="E1092" s="300"/>
      <c r="F1092" s="329"/>
      <c r="G1092" s="300"/>
      <c r="H1092" s="300"/>
      <c r="I1092" s="300"/>
      <c r="J1092" s="300"/>
      <c r="K1092" s="300"/>
      <c r="L1092" s="329"/>
      <c r="M1092" s="29" t="str">
        <f t="shared" si="1"/>
        <v/>
      </c>
      <c r="N1092" s="31" t="str">
        <f>IFERROR(__xludf.DUMMYFUNCTION("IF(Account!$F1092&lt;&gt;"""", VALUE(REGEXREPLACE($I1092, ""\,"", ""."")), """")"),"")</f>
        <v/>
      </c>
      <c r="O1092" s="33" t="str">
        <f>IF(Account!$F1092&lt;&gt;"", DATEVALUE(MID($A1092,4,3) &amp; LEFT($A1092,3) &amp; RIGHT($A1092,4)) + TIMEVALUE($B1092), "")</f>
        <v/>
      </c>
      <c r="P1092" s="34" t="str">
        <f>IF(Account!$F1092&lt;&gt;"", DATEVALUE(MID($C1092,4,3) &amp; LEFT($C1092,3) &amp; RIGHT($C1092,4)), "")</f>
        <v/>
      </c>
      <c r="Q1092" s="35" t="str">
        <f t="array" ref="Q1092">IF($R1092&lt;&gt;"",IFERROR(INDEX(Investment!$A:$A,MATCH($R1092,Investment!$H:$H,0))),)</f>
        <v/>
      </c>
      <c r="R1092" s="36" t="str">
        <f t="array" ref="R1092">IF(AND($Y1092="change",$H1092="EUR"),IF(AND($AA1092="Crédit",$O1092=$O1093),$R1093,IF(AND($AA1092="Débit",$O1092=$O1091),$R1091)),IF(OR(AND(OR($E1092&lt;&gt;"",$M1092=""),$N1092&lt;&gt;0),$A1092=""),IFERROR(INDEX(Investment!$H:$H,MATCH($E1092,Investment!$F:$F,0))),IFERROR(INDEX($R1093:$R1119,MATCH(SUBSTITUTE($I1092,"-","",1),$K1093:$K1119,0)),INDEX($R1093:$R1119,MATCH($K1092,$K1093:$K1119,0)))))</f>
        <v/>
      </c>
      <c r="S1092" s="35" t="str">
        <f t="shared" si="2"/>
        <v/>
      </c>
      <c r="T1092" s="37" t="str">
        <f t="shared" si="3"/>
        <v/>
      </c>
      <c r="U1092" s="38" t="str">
        <f t="shared" si="4"/>
        <v/>
      </c>
      <c r="V1092" s="31" t="str">
        <f t="shared" si="5"/>
        <v/>
      </c>
      <c r="W1092" s="39" t="str">
        <f>IFERROR(__xludf.DUMMYFUNCTION(" IF(Account!$F1092&lt;&gt;"""", SPLIT(Account!$F1092, "" ""), """")"),"")</f>
        <v/>
      </c>
      <c r="X1092" s="40"/>
      <c r="Y1092" s="40"/>
      <c r="Z1092" s="40"/>
      <c r="AA1092" s="40"/>
      <c r="AB1092" s="40"/>
      <c r="AC1092" s="40"/>
      <c r="AD1092" s="40"/>
      <c r="AE1092" s="40"/>
      <c r="AF1092" s="40"/>
      <c r="AG1092" s="40"/>
      <c r="AH1092" s="40"/>
      <c r="AI1092" s="40"/>
      <c r="AJ1092" s="40"/>
      <c r="AK1092" s="40"/>
    </row>
    <row r="1093">
      <c r="A1093" s="300"/>
      <c r="B1093" s="300"/>
      <c r="C1093" s="300"/>
      <c r="D1093" s="300"/>
      <c r="E1093" s="300"/>
      <c r="F1093" s="329"/>
      <c r="G1093" s="300"/>
      <c r="H1093" s="300"/>
      <c r="I1093" s="300"/>
      <c r="J1093" s="300"/>
      <c r="K1093" s="300"/>
      <c r="L1093" s="329"/>
      <c r="M1093" s="29" t="str">
        <f t="shared" si="1"/>
        <v/>
      </c>
      <c r="N1093" s="31" t="str">
        <f>IFERROR(__xludf.DUMMYFUNCTION("IF(Account!$F1093&lt;&gt;"""", VALUE(REGEXREPLACE($I1093, ""\,"", ""."")), """")"),"")</f>
        <v/>
      </c>
      <c r="O1093" s="33" t="str">
        <f>IF(Account!$F1093&lt;&gt;"", DATEVALUE(MID($A1093,4,3) &amp; LEFT($A1093,3) &amp; RIGHT($A1093,4)) + TIMEVALUE($B1093), "")</f>
        <v/>
      </c>
      <c r="P1093" s="34" t="str">
        <f>IF(Account!$F1093&lt;&gt;"", DATEVALUE(MID($C1093,4,3) &amp; LEFT($C1093,3) &amp; RIGHT($C1093,4)), "")</f>
        <v/>
      </c>
      <c r="Q1093" s="35" t="str">
        <f t="array" ref="Q1093">IF($R1093&lt;&gt;"",IFERROR(INDEX(Investment!$A:$A,MATCH($R1093,Investment!$H:$H,0))),)</f>
        <v/>
      </c>
      <c r="R1093" s="36" t="str">
        <f t="array" ref="R1093">IF(AND($Y1093="change",$H1093="EUR"),IF(AND($AA1093="Crédit",$O1093=$O1094),$R1094,IF(AND($AA1093="Débit",$O1093=$O1092),$R1092)),IF(OR(AND(OR($E1093&lt;&gt;"",$M1093=""),$N1093&lt;&gt;0),$A1093=""),IFERROR(INDEX(Investment!$H:$H,MATCH($E1093,Investment!$F:$F,0))),IFERROR(INDEX($R1094:$R1119,MATCH(SUBSTITUTE($I1093,"-","",1),$K1094:$K1119,0)),INDEX($R1094:$R1119,MATCH($K1093,$K1094:$K1119,0)))))</f>
        <v/>
      </c>
      <c r="S1093" s="35" t="str">
        <f t="shared" si="2"/>
        <v/>
      </c>
      <c r="T1093" s="37" t="str">
        <f t="shared" si="3"/>
        <v/>
      </c>
      <c r="U1093" s="38" t="str">
        <f t="shared" si="4"/>
        <v/>
      </c>
      <c r="V1093" s="31" t="str">
        <f t="shared" si="5"/>
        <v/>
      </c>
      <c r="W1093" s="39" t="str">
        <f>IFERROR(__xludf.DUMMYFUNCTION(" IF(Account!$F1093&lt;&gt;"""", SPLIT(Account!$F1093, "" ""), """")"),"")</f>
        <v/>
      </c>
      <c r="X1093" s="40"/>
      <c r="Y1093" s="40"/>
      <c r="Z1093" s="40"/>
      <c r="AA1093" s="40"/>
      <c r="AB1093" s="40"/>
      <c r="AC1093" s="40"/>
      <c r="AD1093" s="40"/>
      <c r="AE1093" s="40"/>
      <c r="AF1093" s="40"/>
      <c r="AG1093" s="40"/>
      <c r="AH1093" s="40"/>
      <c r="AI1093" s="40"/>
      <c r="AJ1093" s="40"/>
      <c r="AK1093" s="40"/>
    </row>
    <row r="1094">
      <c r="A1094" s="300"/>
      <c r="B1094" s="300"/>
      <c r="C1094" s="300"/>
      <c r="D1094" s="300"/>
      <c r="E1094" s="300"/>
      <c r="F1094" s="329"/>
      <c r="G1094" s="300"/>
      <c r="H1094" s="300"/>
      <c r="I1094" s="300"/>
      <c r="J1094" s="300"/>
      <c r="K1094" s="300"/>
      <c r="L1094" s="329"/>
      <c r="M1094" s="29" t="str">
        <f t="shared" si="1"/>
        <v/>
      </c>
      <c r="N1094" s="31" t="str">
        <f>IFERROR(__xludf.DUMMYFUNCTION("IF(Account!$F1094&lt;&gt;"""", VALUE(REGEXREPLACE($I1094, ""\,"", ""."")), """")"),"")</f>
        <v/>
      </c>
      <c r="O1094" s="33" t="str">
        <f>IF(Account!$F1094&lt;&gt;"", DATEVALUE(MID($A1094,4,3) &amp; LEFT($A1094,3) &amp; RIGHT($A1094,4)) + TIMEVALUE($B1094), "")</f>
        <v/>
      </c>
      <c r="P1094" s="34" t="str">
        <f>IF(Account!$F1094&lt;&gt;"", DATEVALUE(MID($C1094,4,3) &amp; LEFT($C1094,3) &amp; RIGHT($C1094,4)), "")</f>
        <v/>
      </c>
      <c r="Q1094" s="35" t="str">
        <f t="array" ref="Q1094">IF($R1094&lt;&gt;"",IFERROR(INDEX(Investment!$A:$A,MATCH($R1094,Investment!$H:$H,0))),)</f>
        <v/>
      </c>
      <c r="R1094" s="36" t="str">
        <f t="array" ref="R1094">IF(AND($Y1094="change",$H1094="EUR"),IF(AND($AA1094="Crédit",$O1094=$O1095),$R1095,IF(AND($AA1094="Débit",$O1094=$O1093),$R1093)),IF(OR(AND(OR($E1094&lt;&gt;"",$M1094=""),$N1094&lt;&gt;0),$A1094=""),IFERROR(INDEX(Investment!$H:$H,MATCH($E1094,Investment!$F:$F,0))),IFERROR(INDEX($R1095:$R1119,MATCH(SUBSTITUTE($I1094,"-","",1),$K1095:$K1119,0)),INDEX($R1095:$R1119,MATCH($K1094,$K1095:$K1119,0)))))</f>
        <v/>
      </c>
      <c r="S1094" s="35" t="str">
        <f t="shared" si="2"/>
        <v/>
      </c>
      <c r="T1094" s="37" t="str">
        <f t="shared" si="3"/>
        <v/>
      </c>
      <c r="U1094" s="38" t="str">
        <f t="shared" si="4"/>
        <v/>
      </c>
      <c r="V1094" s="31" t="str">
        <f t="shared" si="5"/>
        <v/>
      </c>
      <c r="W1094" s="39" t="str">
        <f>IFERROR(__xludf.DUMMYFUNCTION(" IF(Account!$F1094&lt;&gt;"""", SPLIT(Account!$F1094, "" ""), """")"),"")</f>
        <v/>
      </c>
      <c r="X1094" s="40"/>
      <c r="Y1094" s="40"/>
      <c r="Z1094" s="40"/>
      <c r="AA1094" s="40"/>
      <c r="AB1094" s="40"/>
      <c r="AC1094" s="40"/>
      <c r="AD1094" s="40"/>
      <c r="AE1094" s="40"/>
      <c r="AF1094" s="40"/>
      <c r="AG1094" s="40"/>
      <c r="AH1094" s="40"/>
      <c r="AI1094" s="40"/>
      <c r="AJ1094" s="40"/>
      <c r="AK1094" s="40"/>
    </row>
    <row r="1095">
      <c r="A1095" s="300"/>
      <c r="B1095" s="300"/>
      <c r="C1095" s="300"/>
      <c r="D1095" s="300"/>
      <c r="E1095" s="300"/>
      <c r="F1095" s="329"/>
      <c r="G1095" s="300"/>
      <c r="H1095" s="300"/>
      <c r="I1095" s="300"/>
      <c r="J1095" s="300"/>
      <c r="K1095" s="300"/>
      <c r="L1095" s="329"/>
      <c r="M1095" s="29" t="str">
        <f t="shared" si="1"/>
        <v/>
      </c>
      <c r="N1095" s="31" t="str">
        <f>IFERROR(__xludf.DUMMYFUNCTION("IF(Account!$F1095&lt;&gt;"""", VALUE(REGEXREPLACE($I1095, ""\,"", ""."")), """")"),"")</f>
        <v/>
      </c>
      <c r="O1095" s="33" t="str">
        <f>IF(Account!$F1095&lt;&gt;"", DATEVALUE(MID($A1095,4,3) &amp; LEFT($A1095,3) &amp; RIGHT($A1095,4)) + TIMEVALUE($B1095), "")</f>
        <v/>
      </c>
      <c r="P1095" s="34" t="str">
        <f>IF(Account!$F1095&lt;&gt;"", DATEVALUE(MID($C1095,4,3) &amp; LEFT($C1095,3) &amp; RIGHT($C1095,4)), "")</f>
        <v/>
      </c>
      <c r="Q1095" s="35" t="str">
        <f t="array" ref="Q1095">IF($R1095&lt;&gt;"",IFERROR(INDEX(Investment!$A:$A,MATCH($R1095,Investment!$H:$H,0))),)</f>
        <v/>
      </c>
      <c r="R1095" s="36" t="str">
        <f t="array" ref="R1095">IF(AND($Y1095="change",$H1095="EUR"),IF(AND($AA1095="Crédit",$O1095=$O1096),$R1096,IF(AND($AA1095="Débit",$O1095=$O1094),$R1094)),IF(OR(AND(OR($E1095&lt;&gt;"",$M1095=""),$N1095&lt;&gt;0),$A1095=""),IFERROR(INDEX(Investment!$H:$H,MATCH($E1095,Investment!$F:$F,0))),IFERROR(INDEX($R1096:$R1119,MATCH(SUBSTITUTE($I1095,"-","",1),$K1096:$K1119,0)),INDEX($R1096:$R1119,MATCH($K1095,$K1096:$K1119,0)))))</f>
        <v/>
      </c>
      <c r="S1095" s="35" t="str">
        <f t="shared" si="2"/>
        <v/>
      </c>
      <c r="T1095" s="37" t="str">
        <f t="shared" si="3"/>
        <v/>
      </c>
      <c r="U1095" s="38" t="str">
        <f t="shared" si="4"/>
        <v/>
      </c>
      <c r="V1095" s="31" t="str">
        <f t="shared" si="5"/>
        <v/>
      </c>
      <c r="W1095" s="39" t="str">
        <f>IFERROR(__xludf.DUMMYFUNCTION(" IF(Account!$F1095&lt;&gt;"""", SPLIT(Account!$F1095, "" ""), """")"),"")</f>
        <v/>
      </c>
      <c r="X1095" s="40"/>
      <c r="Y1095" s="40"/>
      <c r="Z1095" s="40"/>
      <c r="AA1095" s="40"/>
      <c r="AB1095" s="40"/>
      <c r="AC1095" s="40"/>
      <c r="AD1095" s="40"/>
      <c r="AE1095" s="40"/>
      <c r="AF1095" s="40"/>
      <c r="AG1095" s="40"/>
      <c r="AH1095" s="40"/>
      <c r="AI1095" s="40"/>
      <c r="AJ1095" s="40"/>
      <c r="AK1095" s="40"/>
    </row>
    <row r="1096">
      <c r="A1096" s="300"/>
      <c r="B1096" s="300"/>
      <c r="C1096" s="300"/>
      <c r="D1096" s="300"/>
      <c r="E1096" s="300"/>
      <c r="F1096" s="329"/>
      <c r="G1096" s="300"/>
      <c r="H1096" s="300"/>
      <c r="I1096" s="300"/>
      <c r="J1096" s="300"/>
      <c r="K1096" s="300"/>
      <c r="L1096" s="329"/>
      <c r="M1096" s="29" t="str">
        <f t="shared" si="1"/>
        <v/>
      </c>
      <c r="N1096" s="31" t="str">
        <f>IFERROR(__xludf.DUMMYFUNCTION("IF(Account!$F1096&lt;&gt;"""", VALUE(REGEXREPLACE($I1096, ""\,"", ""."")), """")"),"")</f>
        <v/>
      </c>
      <c r="O1096" s="33" t="str">
        <f>IF(Account!$F1096&lt;&gt;"", DATEVALUE(MID($A1096,4,3) &amp; LEFT($A1096,3) &amp; RIGHT($A1096,4)) + TIMEVALUE($B1096), "")</f>
        <v/>
      </c>
      <c r="P1096" s="34" t="str">
        <f>IF(Account!$F1096&lt;&gt;"", DATEVALUE(MID($C1096,4,3) &amp; LEFT($C1096,3) &amp; RIGHT($C1096,4)), "")</f>
        <v/>
      </c>
      <c r="Q1096" s="35" t="str">
        <f t="array" ref="Q1096">IF($R1096&lt;&gt;"",IFERROR(INDEX(Investment!$A:$A,MATCH($R1096,Investment!$H:$H,0))),)</f>
        <v/>
      </c>
      <c r="R1096" s="36" t="str">
        <f t="array" ref="R1096">IF(AND($Y1096="change",$H1096="EUR"),IF(AND($AA1096="Crédit",$O1096=$O1097),$R1097,IF(AND($AA1096="Débit",$O1096=$O1095),$R1095)),IF(OR(AND(OR($E1096&lt;&gt;"",$M1096=""),$N1096&lt;&gt;0),$A1096=""),IFERROR(INDEX(Investment!$H:$H,MATCH($E1096,Investment!$F:$F,0))),IFERROR(INDEX($R1097:$R1119,MATCH(SUBSTITUTE($I1096,"-","",1),$K1097:$K1119,0)),INDEX($R1097:$R1119,MATCH($K1096,$K1097:$K1119,0)))))</f>
        <v/>
      </c>
      <c r="S1096" s="35" t="str">
        <f t="shared" si="2"/>
        <v/>
      </c>
      <c r="T1096" s="37" t="str">
        <f t="shared" si="3"/>
        <v/>
      </c>
      <c r="U1096" s="38" t="str">
        <f t="shared" si="4"/>
        <v/>
      </c>
      <c r="V1096" s="31" t="str">
        <f t="shared" si="5"/>
        <v/>
      </c>
      <c r="W1096" s="39" t="str">
        <f>IFERROR(__xludf.DUMMYFUNCTION(" IF(Account!$F1096&lt;&gt;"""", SPLIT(Account!$F1096, "" ""), """")"),"")</f>
        <v/>
      </c>
      <c r="X1096" s="40"/>
      <c r="Y1096" s="40"/>
      <c r="Z1096" s="40"/>
      <c r="AA1096" s="40"/>
      <c r="AB1096" s="40"/>
      <c r="AC1096" s="40"/>
      <c r="AD1096" s="40"/>
      <c r="AE1096" s="40"/>
      <c r="AF1096" s="40"/>
      <c r="AG1096" s="40"/>
      <c r="AH1096" s="40"/>
      <c r="AI1096" s="40"/>
      <c r="AJ1096" s="40"/>
      <c r="AK1096" s="40"/>
    </row>
    <row r="1097">
      <c r="A1097" s="300"/>
      <c r="B1097" s="300"/>
      <c r="C1097" s="300"/>
      <c r="D1097" s="300"/>
      <c r="E1097" s="300"/>
      <c r="F1097" s="329"/>
      <c r="G1097" s="300"/>
      <c r="H1097" s="300"/>
      <c r="I1097" s="300"/>
      <c r="J1097" s="300"/>
      <c r="K1097" s="300"/>
      <c r="L1097" s="329"/>
      <c r="M1097" s="29" t="str">
        <f t="shared" si="1"/>
        <v/>
      </c>
      <c r="N1097" s="31" t="str">
        <f>IFERROR(__xludf.DUMMYFUNCTION("IF(Account!$F1097&lt;&gt;"""", VALUE(REGEXREPLACE($I1097, ""\,"", ""."")), """")"),"")</f>
        <v/>
      </c>
      <c r="O1097" s="33" t="str">
        <f>IF(Account!$F1097&lt;&gt;"", DATEVALUE(MID($A1097,4,3) &amp; LEFT($A1097,3) &amp; RIGHT($A1097,4)) + TIMEVALUE($B1097), "")</f>
        <v/>
      </c>
      <c r="P1097" s="34" t="str">
        <f>IF(Account!$F1097&lt;&gt;"", DATEVALUE(MID($C1097,4,3) &amp; LEFT($C1097,3) &amp; RIGHT($C1097,4)), "")</f>
        <v/>
      </c>
      <c r="Q1097" s="35" t="str">
        <f t="array" ref="Q1097">IF($R1097&lt;&gt;"",IFERROR(INDEX(Investment!$A:$A,MATCH($R1097,Investment!$H:$H,0))),)</f>
        <v/>
      </c>
      <c r="R1097" s="36" t="str">
        <f t="array" ref="R1097">IF(AND($Y1097="change",$H1097="EUR"),IF(AND($AA1097="Crédit",$O1097=$O1098),$R1098,IF(AND($AA1097="Débit",$O1097=$O1096),$R1096)),IF(OR(AND(OR($E1097&lt;&gt;"",$M1097=""),$N1097&lt;&gt;0),$A1097=""),IFERROR(INDEX(Investment!$H:$H,MATCH($E1097,Investment!$F:$F,0))),IFERROR(INDEX($R1098:$R1119,MATCH(SUBSTITUTE($I1097,"-","",1),$K1098:$K1119,0)),INDEX($R1098:$R1119,MATCH($K1097,$K1098:$K1119,0)))))</f>
        <v/>
      </c>
      <c r="S1097" s="35" t="str">
        <f t="shared" si="2"/>
        <v/>
      </c>
      <c r="T1097" s="37" t="str">
        <f t="shared" si="3"/>
        <v/>
      </c>
      <c r="U1097" s="38" t="str">
        <f t="shared" si="4"/>
        <v/>
      </c>
      <c r="V1097" s="31" t="str">
        <f t="shared" si="5"/>
        <v/>
      </c>
      <c r="W1097" s="39" t="str">
        <f>IFERROR(__xludf.DUMMYFUNCTION(" IF(Account!$F1097&lt;&gt;"""", SPLIT(Account!$F1097, "" ""), """")"),"")</f>
        <v/>
      </c>
      <c r="X1097" s="40"/>
      <c r="Y1097" s="40"/>
      <c r="Z1097" s="40"/>
      <c r="AA1097" s="40"/>
      <c r="AB1097" s="40"/>
      <c r="AC1097" s="40"/>
      <c r="AD1097" s="40"/>
      <c r="AE1097" s="40"/>
      <c r="AF1097" s="40"/>
      <c r="AG1097" s="40"/>
      <c r="AH1097" s="40"/>
      <c r="AI1097" s="40"/>
      <c r="AJ1097" s="40"/>
      <c r="AK1097" s="40"/>
    </row>
    <row r="1098">
      <c r="A1098" s="300"/>
      <c r="B1098" s="300"/>
      <c r="C1098" s="300"/>
      <c r="D1098" s="300"/>
      <c r="E1098" s="300"/>
      <c r="F1098" s="329"/>
      <c r="G1098" s="300"/>
      <c r="H1098" s="300"/>
      <c r="I1098" s="300"/>
      <c r="J1098" s="300"/>
      <c r="K1098" s="300"/>
      <c r="L1098" s="329"/>
      <c r="M1098" s="29" t="str">
        <f t="shared" si="1"/>
        <v/>
      </c>
      <c r="N1098" s="31" t="str">
        <f>IFERROR(__xludf.DUMMYFUNCTION("IF(Account!$F1098&lt;&gt;"""", VALUE(REGEXREPLACE($I1098, ""\,"", ""."")), """")"),"")</f>
        <v/>
      </c>
      <c r="O1098" s="33" t="str">
        <f>IF(Account!$F1098&lt;&gt;"", DATEVALUE(MID($A1098,4,3) &amp; LEFT($A1098,3) &amp; RIGHT($A1098,4)) + TIMEVALUE($B1098), "")</f>
        <v/>
      </c>
      <c r="P1098" s="34" t="str">
        <f>IF(Account!$F1098&lt;&gt;"", DATEVALUE(MID($C1098,4,3) &amp; LEFT($C1098,3) &amp; RIGHT($C1098,4)), "")</f>
        <v/>
      </c>
      <c r="Q1098" s="35" t="str">
        <f t="array" ref="Q1098">IF($R1098&lt;&gt;"",IFERROR(INDEX(Investment!$A:$A,MATCH($R1098,Investment!$H:$H,0))),)</f>
        <v/>
      </c>
      <c r="R1098" s="36" t="str">
        <f t="array" ref="R1098">IF(AND($Y1098="change",$H1098="EUR"),IF(AND($AA1098="Crédit",$O1098=$O1099),$R1099,IF(AND($AA1098="Débit",$O1098=$O1097),$R1097)),IF(OR(AND(OR($E1098&lt;&gt;"",$M1098=""),$N1098&lt;&gt;0),$A1098=""),IFERROR(INDEX(Investment!$H:$H,MATCH($E1098,Investment!$F:$F,0))),IFERROR(INDEX($R1099:$R1119,MATCH(SUBSTITUTE($I1098,"-","",1),$K1099:$K1119,0)),INDEX($R1099:$R1119,MATCH($K1098,$K1099:$K1119,0)))))</f>
        <v/>
      </c>
      <c r="S1098" s="35" t="str">
        <f t="shared" si="2"/>
        <v/>
      </c>
      <c r="T1098" s="37" t="str">
        <f t="shared" si="3"/>
        <v/>
      </c>
      <c r="U1098" s="38" t="str">
        <f t="shared" si="4"/>
        <v/>
      </c>
      <c r="V1098" s="31" t="str">
        <f t="shared" si="5"/>
        <v/>
      </c>
      <c r="W1098" s="39" t="str">
        <f>IFERROR(__xludf.DUMMYFUNCTION(" IF(Account!$F1098&lt;&gt;"""", SPLIT(Account!$F1098, "" ""), """")"),"")</f>
        <v/>
      </c>
      <c r="X1098" s="40"/>
      <c r="Y1098" s="40"/>
      <c r="Z1098" s="40"/>
      <c r="AA1098" s="40"/>
      <c r="AB1098" s="40"/>
      <c r="AC1098" s="40"/>
      <c r="AD1098" s="40"/>
      <c r="AE1098" s="40"/>
      <c r="AF1098" s="40"/>
      <c r="AG1098" s="40"/>
      <c r="AH1098" s="40"/>
      <c r="AI1098" s="40"/>
      <c r="AJ1098" s="40"/>
      <c r="AK1098" s="40"/>
    </row>
    <row r="1099">
      <c r="A1099" s="300"/>
      <c r="B1099" s="300"/>
      <c r="C1099" s="300"/>
      <c r="D1099" s="300"/>
      <c r="E1099" s="300"/>
      <c r="F1099" s="329"/>
      <c r="G1099" s="300"/>
      <c r="H1099" s="300"/>
      <c r="I1099" s="300"/>
      <c r="J1099" s="300"/>
      <c r="K1099" s="300"/>
      <c r="L1099" s="329"/>
      <c r="M1099" s="29" t="str">
        <f t="shared" si="1"/>
        <v/>
      </c>
      <c r="N1099" s="31" t="str">
        <f>IFERROR(__xludf.DUMMYFUNCTION("IF(Account!$F1099&lt;&gt;"""", VALUE(REGEXREPLACE($I1099, ""\,"", ""."")), """")"),"")</f>
        <v/>
      </c>
      <c r="O1099" s="33" t="str">
        <f>IF(Account!$F1099&lt;&gt;"", DATEVALUE(MID($A1099,4,3) &amp; LEFT($A1099,3) &amp; RIGHT($A1099,4)) + TIMEVALUE($B1099), "")</f>
        <v/>
      </c>
      <c r="P1099" s="34" t="str">
        <f>IF(Account!$F1099&lt;&gt;"", DATEVALUE(MID($C1099,4,3) &amp; LEFT($C1099,3) &amp; RIGHT($C1099,4)), "")</f>
        <v/>
      </c>
      <c r="Q1099" s="35" t="str">
        <f t="array" ref="Q1099">IF($R1099&lt;&gt;"",IFERROR(INDEX(Investment!$A:$A,MATCH($R1099,Investment!$H:$H,0))),)</f>
        <v/>
      </c>
      <c r="R1099" s="36" t="str">
        <f t="array" ref="R1099">IF(AND($Y1099="change",$H1099="EUR"),IF(AND($AA1099="Crédit",$O1099=$O1100),$R1100,IF(AND($AA1099="Débit",$O1099=$O1098),$R1098)),IF(OR(AND(OR($E1099&lt;&gt;"",$M1099=""),$N1099&lt;&gt;0),$A1099=""),IFERROR(INDEX(Investment!$H:$H,MATCH($E1099,Investment!$F:$F,0))),IFERROR(INDEX($R1100:$R1119,MATCH(SUBSTITUTE($I1099,"-","",1),$K1100:$K1119,0)),INDEX($R1100:$R1119,MATCH($K1099,$K1100:$K1119,0)))))</f>
        <v/>
      </c>
      <c r="S1099" s="35" t="str">
        <f t="shared" si="2"/>
        <v/>
      </c>
      <c r="T1099" s="37" t="str">
        <f t="shared" si="3"/>
        <v/>
      </c>
      <c r="U1099" s="38" t="str">
        <f t="shared" si="4"/>
        <v/>
      </c>
      <c r="V1099" s="31" t="str">
        <f t="shared" si="5"/>
        <v/>
      </c>
      <c r="W1099" s="39" t="str">
        <f>IFERROR(__xludf.DUMMYFUNCTION(" IF(Account!$F1099&lt;&gt;"""", SPLIT(Account!$F1099, "" ""), """")"),"")</f>
        <v/>
      </c>
      <c r="X1099" s="40"/>
      <c r="Y1099" s="40"/>
      <c r="Z1099" s="40"/>
      <c r="AA1099" s="40"/>
      <c r="AB1099" s="40"/>
      <c r="AC1099" s="40"/>
      <c r="AD1099" s="40"/>
      <c r="AE1099" s="40"/>
      <c r="AF1099" s="40"/>
      <c r="AG1099" s="40"/>
      <c r="AH1099" s="40"/>
      <c r="AI1099" s="40"/>
      <c r="AJ1099" s="40"/>
      <c r="AK1099" s="40"/>
    </row>
    <row r="1100">
      <c r="A1100" s="300"/>
      <c r="B1100" s="300"/>
      <c r="C1100" s="300"/>
      <c r="D1100" s="300"/>
      <c r="E1100" s="300"/>
      <c r="F1100" s="329"/>
      <c r="G1100" s="300"/>
      <c r="H1100" s="300"/>
      <c r="I1100" s="300"/>
      <c r="J1100" s="300"/>
      <c r="K1100" s="300"/>
      <c r="L1100" s="329"/>
      <c r="M1100" s="29" t="str">
        <f t="shared" si="1"/>
        <v/>
      </c>
      <c r="N1100" s="31" t="str">
        <f>IFERROR(__xludf.DUMMYFUNCTION("IF(Account!$F1100&lt;&gt;"""", VALUE(REGEXREPLACE($I1100, ""\,"", ""."")), """")"),"")</f>
        <v/>
      </c>
      <c r="O1100" s="33" t="str">
        <f>IF(Account!$F1100&lt;&gt;"", DATEVALUE(MID($A1100,4,3) &amp; LEFT($A1100,3) &amp; RIGHT($A1100,4)) + TIMEVALUE($B1100), "")</f>
        <v/>
      </c>
      <c r="P1100" s="34" t="str">
        <f>IF(Account!$F1100&lt;&gt;"", DATEVALUE(MID($C1100,4,3) &amp; LEFT($C1100,3) &amp; RIGHT($C1100,4)), "")</f>
        <v/>
      </c>
      <c r="Q1100" s="35" t="str">
        <f t="array" ref="Q1100">IF($R1100&lt;&gt;"",IFERROR(INDEX(Investment!$A:$A,MATCH($R1100,Investment!$H:$H,0))),)</f>
        <v/>
      </c>
      <c r="R1100" s="36" t="str">
        <f t="array" ref="R1100">IF(AND($Y1100="change",$H1100="EUR"),IF(AND($AA1100="Crédit",$O1100=$O1101),$R1101,IF(AND($AA1100="Débit",$O1100=$O1099),$R1099)),IF(OR(AND(OR($E1100&lt;&gt;"",$M1100=""),$N1100&lt;&gt;0),$A1100=""),IFERROR(INDEX(Investment!$H:$H,MATCH($E1100,Investment!$F:$F,0))),IFERROR(INDEX($R1101:$R1119,MATCH(SUBSTITUTE($I1100,"-","",1),$K1101:$K1119,0)),INDEX($R1101:$R1119,MATCH($K1100,$K1101:$K1119,0)))))</f>
        <v/>
      </c>
      <c r="S1100" s="35" t="str">
        <f t="shared" si="2"/>
        <v/>
      </c>
      <c r="T1100" s="37" t="str">
        <f t="shared" si="3"/>
        <v/>
      </c>
      <c r="U1100" s="38" t="str">
        <f t="shared" si="4"/>
        <v/>
      </c>
      <c r="V1100" s="31" t="str">
        <f t="shared" si="5"/>
        <v/>
      </c>
      <c r="W1100" s="39" t="str">
        <f>IFERROR(__xludf.DUMMYFUNCTION(" IF(Account!$F1100&lt;&gt;"""", SPLIT(Account!$F1100, "" ""), """")"),"")</f>
        <v/>
      </c>
      <c r="X1100" s="40"/>
      <c r="Y1100" s="40"/>
      <c r="Z1100" s="40"/>
      <c r="AA1100" s="40"/>
      <c r="AB1100" s="40"/>
      <c r="AC1100" s="40"/>
      <c r="AD1100" s="40"/>
      <c r="AE1100" s="40"/>
      <c r="AF1100" s="40"/>
      <c r="AG1100" s="40"/>
      <c r="AH1100" s="40"/>
      <c r="AI1100" s="40"/>
      <c r="AJ1100" s="40"/>
      <c r="AK1100" s="40"/>
    </row>
    <row r="1101">
      <c r="A1101" s="300"/>
      <c r="B1101" s="300"/>
      <c r="C1101" s="300"/>
      <c r="D1101" s="300"/>
      <c r="E1101" s="300"/>
      <c r="F1101" s="329"/>
      <c r="G1101" s="300"/>
      <c r="H1101" s="300"/>
      <c r="I1101" s="300"/>
      <c r="J1101" s="300"/>
      <c r="K1101" s="300"/>
      <c r="L1101" s="329"/>
      <c r="M1101" s="29" t="str">
        <f t="shared" si="1"/>
        <v/>
      </c>
      <c r="N1101" s="31" t="str">
        <f>IFERROR(__xludf.DUMMYFUNCTION("IF(Account!$F1101&lt;&gt;"""", VALUE(REGEXREPLACE($I1101, ""\,"", ""."")), """")"),"")</f>
        <v/>
      </c>
      <c r="O1101" s="33" t="str">
        <f>IF(Account!$F1101&lt;&gt;"", DATEVALUE(MID($A1101,4,3) &amp; LEFT($A1101,3) &amp; RIGHT($A1101,4)) + TIMEVALUE($B1101), "")</f>
        <v/>
      </c>
      <c r="P1101" s="34" t="str">
        <f>IF(Account!$F1101&lt;&gt;"", DATEVALUE(MID($C1101,4,3) &amp; LEFT($C1101,3) &amp; RIGHT($C1101,4)), "")</f>
        <v/>
      </c>
      <c r="Q1101" s="35" t="str">
        <f t="array" ref="Q1101">IF($R1101&lt;&gt;"",IFERROR(INDEX(Investment!$A:$A,MATCH($R1101,Investment!$H:$H,0))),)</f>
        <v/>
      </c>
      <c r="R1101" s="36" t="str">
        <f t="array" ref="R1101">IF(AND($Y1101="change",$H1101="EUR"),IF(AND($AA1101="Crédit",$O1101=$O1102),$R1102,IF(AND($AA1101="Débit",$O1101=$O1100),$R1100)),IF(OR(AND(OR($E1101&lt;&gt;"",$M1101=""),$N1101&lt;&gt;0),$A1101=""),IFERROR(INDEX(Investment!$H:$H,MATCH($E1101,Investment!$F:$F,0))),IFERROR(INDEX($R1102:$R1119,MATCH(SUBSTITUTE($I1101,"-","",1),$K1102:$K1119,0)),INDEX($R1102:$R1119,MATCH($K1101,$K1102:$K1119,0)))))</f>
        <v/>
      </c>
      <c r="S1101" s="35" t="str">
        <f t="shared" si="2"/>
        <v/>
      </c>
      <c r="T1101" s="37" t="str">
        <f t="shared" si="3"/>
        <v/>
      </c>
      <c r="U1101" s="38" t="str">
        <f t="shared" si="4"/>
        <v/>
      </c>
      <c r="V1101" s="31" t="str">
        <f t="shared" si="5"/>
        <v/>
      </c>
      <c r="W1101" s="39" t="str">
        <f>IFERROR(__xludf.DUMMYFUNCTION(" IF(Account!$F1101&lt;&gt;"""", SPLIT(Account!$F1101, "" ""), """")"),"")</f>
        <v/>
      </c>
      <c r="X1101" s="40"/>
      <c r="Y1101" s="40"/>
      <c r="Z1101" s="40"/>
      <c r="AA1101" s="40"/>
      <c r="AB1101" s="40"/>
      <c r="AC1101" s="40"/>
      <c r="AD1101" s="40"/>
      <c r="AE1101" s="40"/>
      <c r="AF1101" s="40"/>
      <c r="AG1101" s="40"/>
      <c r="AH1101" s="40"/>
      <c r="AI1101" s="40"/>
      <c r="AJ1101" s="40"/>
      <c r="AK1101" s="40"/>
    </row>
    <row r="1102">
      <c r="A1102" s="300"/>
      <c r="B1102" s="300"/>
      <c r="C1102" s="300"/>
      <c r="D1102" s="300"/>
      <c r="E1102" s="300"/>
      <c r="F1102" s="329"/>
      <c r="G1102" s="300"/>
      <c r="H1102" s="300"/>
      <c r="I1102" s="300"/>
      <c r="J1102" s="300"/>
      <c r="K1102" s="300"/>
      <c r="L1102" s="329"/>
      <c r="M1102" s="29" t="str">
        <f t="shared" si="1"/>
        <v/>
      </c>
      <c r="N1102" s="31" t="str">
        <f>IFERROR(__xludf.DUMMYFUNCTION("IF(Account!$F1102&lt;&gt;"""", VALUE(REGEXREPLACE($I1102, ""\,"", ""."")), """")"),"")</f>
        <v/>
      </c>
      <c r="O1102" s="33" t="str">
        <f>IF(Account!$F1102&lt;&gt;"", DATEVALUE(MID($A1102,4,3) &amp; LEFT($A1102,3) &amp; RIGHT($A1102,4)) + TIMEVALUE($B1102), "")</f>
        <v/>
      </c>
      <c r="P1102" s="34" t="str">
        <f>IF(Account!$F1102&lt;&gt;"", DATEVALUE(MID($C1102,4,3) &amp; LEFT($C1102,3) &amp; RIGHT($C1102,4)), "")</f>
        <v/>
      </c>
      <c r="Q1102" s="35" t="str">
        <f t="array" ref="Q1102">IF($R1102&lt;&gt;"",IFERROR(INDEX(Investment!$A:$A,MATCH($R1102,Investment!$H:$H,0))),)</f>
        <v/>
      </c>
      <c r="R1102" s="36" t="str">
        <f t="array" ref="R1102">IF(AND($Y1102="change",$H1102="EUR"),IF(AND($AA1102="Crédit",$O1102=$O1103),$R1103,IF(AND($AA1102="Débit",$O1102=$O1101),$R1101)),IF(OR(AND(OR($E1102&lt;&gt;"",$M1102=""),$N1102&lt;&gt;0),$A1102=""),IFERROR(INDEX(Investment!$H:$H,MATCH($E1102,Investment!$F:$F,0))),IFERROR(INDEX($R1103:$R1119,MATCH(SUBSTITUTE($I1102,"-","",1),$K1103:$K1119,0)),INDEX($R1103:$R1119,MATCH($K1102,$K1103:$K1119,0)))))</f>
        <v/>
      </c>
      <c r="S1102" s="35" t="str">
        <f t="shared" si="2"/>
        <v/>
      </c>
      <c r="T1102" s="37" t="str">
        <f t="shared" si="3"/>
        <v/>
      </c>
      <c r="U1102" s="38" t="str">
        <f t="shared" si="4"/>
        <v/>
      </c>
      <c r="V1102" s="31" t="str">
        <f t="shared" si="5"/>
        <v/>
      </c>
      <c r="W1102" s="39" t="str">
        <f>IFERROR(__xludf.DUMMYFUNCTION(" IF(Account!$F1102&lt;&gt;"""", SPLIT(Account!$F1102, "" ""), """")"),"")</f>
        <v/>
      </c>
      <c r="X1102" s="40"/>
      <c r="Y1102" s="40"/>
      <c r="Z1102" s="40"/>
      <c r="AA1102" s="40"/>
      <c r="AB1102" s="40"/>
      <c r="AC1102" s="40"/>
      <c r="AD1102" s="40"/>
      <c r="AE1102" s="40"/>
      <c r="AF1102" s="40"/>
      <c r="AG1102" s="40"/>
      <c r="AH1102" s="40"/>
      <c r="AI1102" s="40"/>
      <c r="AJ1102" s="40"/>
      <c r="AK1102" s="40"/>
    </row>
    <row r="1103">
      <c r="A1103" s="300"/>
      <c r="B1103" s="300"/>
      <c r="C1103" s="300"/>
      <c r="D1103" s="300"/>
      <c r="E1103" s="300"/>
      <c r="F1103" s="329"/>
      <c r="G1103" s="300"/>
      <c r="H1103" s="300"/>
      <c r="I1103" s="300"/>
      <c r="J1103" s="300"/>
      <c r="K1103" s="300"/>
      <c r="L1103" s="329"/>
      <c r="M1103" s="29" t="str">
        <f t="shared" si="1"/>
        <v/>
      </c>
      <c r="N1103" s="31" t="str">
        <f>IFERROR(__xludf.DUMMYFUNCTION("IF(Account!$F1103&lt;&gt;"""", VALUE(REGEXREPLACE($I1103, ""\,"", ""."")), """")"),"")</f>
        <v/>
      </c>
      <c r="O1103" s="33" t="str">
        <f>IF(Account!$F1103&lt;&gt;"", DATEVALUE(MID($A1103,4,3) &amp; LEFT($A1103,3) &amp; RIGHT($A1103,4)) + TIMEVALUE($B1103), "")</f>
        <v/>
      </c>
      <c r="P1103" s="34" t="str">
        <f>IF(Account!$F1103&lt;&gt;"", DATEVALUE(MID($C1103,4,3) &amp; LEFT($C1103,3) &amp; RIGHT($C1103,4)), "")</f>
        <v/>
      </c>
      <c r="Q1103" s="35" t="str">
        <f t="array" ref="Q1103">IF($R1103&lt;&gt;"",IFERROR(INDEX(Investment!$A:$A,MATCH($R1103,Investment!$H:$H,0))),)</f>
        <v/>
      </c>
      <c r="R1103" s="36" t="str">
        <f t="array" ref="R1103">IF(AND($Y1103="change",$H1103="EUR"),IF(AND($AA1103="Crédit",$O1103=$O1104),$R1104,IF(AND($AA1103="Débit",$O1103=$O1102),$R1102)),IF(OR(AND(OR($E1103&lt;&gt;"",$M1103=""),$N1103&lt;&gt;0),$A1103=""),IFERROR(INDEX(Investment!$H:$H,MATCH($E1103,Investment!$F:$F,0))),IFERROR(INDEX($R1104:$R1119,MATCH(SUBSTITUTE($I1103,"-","",1),$K1104:$K1119,0)),INDEX($R1104:$R1119,MATCH($K1103,$K1104:$K1119,0)))))</f>
        <v/>
      </c>
      <c r="S1103" s="35" t="str">
        <f t="shared" si="2"/>
        <v/>
      </c>
      <c r="T1103" s="37" t="str">
        <f t="shared" si="3"/>
        <v/>
      </c>
      <c r="U1103" s="38" t="str">
        <f t="shared" si="4"/>
        <v/>
      </c>
      <c r="V1103" s="31" t="str">
        <f t="shared" si="5"/>
        <v/>
      </c>
      <c r="W1103" s="39" t="str">
        <f>IFERROR(__xludf.DUMMYFUNCTION(" IF(Account!$F1103&lt;&gt;"""", SPLIT(Account!$F1103, "" ""), """")"),"")</f>
        <v/>
      </c>
      <c r="X1103" s="40"/>
      <c r="Y1103" s="40"/>
      <c r="Z1103" s="40"/>
      <c r="AA1103" s="40"/>
      <c r="AB1103" s="40"/>
      <c r="AC1103" s="40"/>
      <c r="AD1103" s="40"/>
      <c r="AE1103" s="40"/>
      <c r="AF1103" s="40"/>
      <c r="AG1103" s="40"/>
      <c r="AH1103" s="40"/>
      <c r="AI1103" s="40"/>
      <c r="AJ1103" s="40"/>
      <c r="AK1103" s="40"/>
    </row>
    <row r="1104">
      <c r="A1104" s="300"/>
      <c r="B1104" s="300"/>
      <c r="C1104" s="300"/>
      <c r="D1104" s="300"/>
      <c r="E1104" s="300"/>
      <c r="F1104" s="329"/>
      <c r="G1104" s="300"/>
      <c r="H1104" s="300"/>
      <c r="I1104" s="300"/>
      <c r="J1104" s="300"/>
      <c r="K1104" s="300"/>
      <c r="L1104" s="329"/>
      <c r="M1104" s="29" t="str">
        <f t="shared" si="1"/>
        <v/>
      </c>
      <c r="N1104" s="31" t="str">
        <f>IFERROR(__xludf.DUMMYFUNCTION("IF(Account!$F1104&lt;&gt;"""", VALUE(REGEXREPLACE($I1104, ""\,"", ""."")), """")"),"")</f>
        <v/>
      </c>
      <c r="O1104" s="33" t="str">
        <f>IF(Account!$F1104&lt;&gt;"", DATEVALUE(MID($A1104,4,3) &amp; LEFT($A1104,3) &amp; RIGHT($A1104,4)) + TIMEVALUE($B1104), "")</f>
        <v/>
      </c>
      <c r="P1104" s="34" t="str">
        <f>IF(Account!$F1104&lt;&gt;"", DATEVALUE(MID($C1104,4,3) &amp; LEFT($C1104,3) &amp; RIGHT($C1104,4)), "")</f>
        <v/>
      </c>
      <c r="Q1104" s="35" t="str">
        <f t="array" ref="Q1104">IF($R1104&lt;&gt;"",IFERROR(INDEX(Investment!$A:$A,MATCH($R1104,Investment!$H:$H,0))),)</f>
        <v/>
      </c>
      <c r="R1104" s="36" t="str">
        <f t="array" ref="R1104">IF(AND($Y1104="change",$H1104="EUR"),IF(AND($AA1104="Crédit",$O1104=$O1105),$R1105,IF(AND($AA1104="Débit",$O1104=$O1103),$R1103)),IF(OR(AND(OR($E1104&lt;&gt;"",$M1104=""),$N1104&lt;&gt;0),$A1104=""),IFERROR(INDEX(Investment!$H:$H,MATCH($E1104,Investment!$F:$F,0))),IFERROR(INDEX($R1105:$R1119,MATCH(SUBSTITUTE($I1104,"-","",1),$K1105:$K1119,0)),INDEX($R1105:$R1119,MATCH($K1104,$K1105:$K1119,0)))))</f>
        <v/>
      </c>
      <c r="S1104" s="35" t="str">
        <f t="shared" si="2"/>
        <v/>
      </c>
      <c r="T1104" s="37" t="str">
        <f t="shared" si="3"/>
        <v/>
      </c>
      <c r="U1104" s="38" t="str">
        <f t="shared" si="4"/>
        <v/>
      </c>
      <c r="V1104" s="31" t="str">
        <f t="shared" si="5"/>
        <v/>
      </c>
      <c r="W1104" s="39" t="str">
        <f>IFERROR(__xludf.DUMMYFUNCTION(" IF(Account!$F1104&lt;&gt;"""", SPLIT(Account!$F1104, "" ""), """")"),"")</f>
        <v/>
      </c>
      <c r="X1104" s="40"/>
      <c r="Y1104" s="40"/>
      <c r="Z1104" s="40"/>
      <c r="AA1104" s="40"/>
      <c r="AB1104" s="40"/>
      <c r="AC1104" s="40"/>
      <c r="AD1104" s="40"/>
      <c r="AE1104" s="40"/>
      <c r="AF1104" s="40"/>
      <c r="AG1104" s="40"/>
      <c r="AH1104" s="40"/>
      <c r="AI1104" s="40"/>
      <c r="AJ1104" s="40"/>
      <c r="AK1104" s="40"/>
    </row>
    <row r="1105">
      <c r="A1105" s="300"/>
      <c r="B1105" s="300"/>
      <c r="C1105" s="300"/>
      <c r="D1105" s="300"/>
      <c r="E1105" s="300"/>
      <c r="F1105" s="329"/>
      <c r="G1105" s="300"/>
      <c r="H1105" s="300"/>
      <c r="I1105" s="300"/>
      <c r="J1105" s="300"/>
      <c r="K1105" s="300"/>
      <c r="L1105" s="329"/>
      <c r="M1105" s="29" t="str">
        <f t="shared" si="1"/>
        <v/>
      </c>
      <c r="N1105" s="31" t="str">
        <f>IFERROR(__xludf.DUMMYFUNCTION("IF(Account!$F1105&lt;&gt;"""", VALUE(REGEXREPLACE($I1105, ""\,"", ""."")), """")"),"")</f>
        <v/>
      </c>
      <c r="O1105" s="33" t="str">
        <f>IF(Account!$F1105&lt;&gt;"", DATEVALUE(MID($A1105,4,3) &amp; LEFT($A1105,3) &amp; RIGHT($A1105,4)) + TIMEVALUE($B1105), "")</f>
        <v/>
      </c>
      <c r="P1105" s="34" t="str">
        <f>IF(Account!$F1105&lt;&gt;"", DATEVALUE(MID($C1105,4,3) &amp; LEFT($C1105,3) &amp; RIGHT($C1105,4)), "")</f>
        <v/>
      </c>
      <c r="Q1105" s="35" t="str">
        <f t="array" ref="Q1105">IF($R1105&lt;&gt;"",IFERROR(INDEX(Investment!$A:$A,MATCH($R1105,Investment!$H:$H,0))),)</f>
        <v/>
      </c>
      <c r="R1105" s="36" t="str">
        <f t="array" ref="R1105">IF(AND($Y1105="change",$H1105="EUR"),IF(AND($AA1105="Crédit",$O1105=$O1106),$R1106,IF(AND($AA1105="Débit",$O1105=$O1104),$R1104)),IF(OR(AND(OR($E1105&lt;&gt;"",$M1105=""),$N1105&lt;&gt;0),$A1105=""),IFERROR(INDEX(Investment!$H:$H,MATCH($E1105,Investment!$F:$F,0))),IFERROR(INDEX($R1106:$R1119,MATCH(SUBSTITUTE($I1105,"-","",1),$K1106:$K1119,0)),INDEX($R1106:$R1119,MATCH($K1105,$K1106:$K1119,0)))))</f>
        <v/>
      </c>
      <c r="S1105" s="35" t="str">
        <f t="shared" si="2"/>
        <v/>
      </c>
      <c r="T1105" s="37" t="str">
        <f t="shared" si="3"/>
        <v/>
      </c>
      <c r="U1105" s="38" t="str">
        <f t="shared" si="4"/>
        <v/>
      </c>
      <c r="V1105" s="31" t="str">
        <f t="shared" si="5"/>
        <v/>
      </c>
      <c r="W1105" s="39" t="str">
        <f>IFERROR(__xludf.DUMMYFUNCTION(" IF(Account!$F1105&lt;&gt;"""", SPLIT(Account!$F1105, "" ""), """")"),"")</f>
        <v/>
      </c>
      <c r="X1105" s="40"/>
      <c r="Y1105" s="40"/>
      <c r="Z1105" s="40"/>
      <c r="AA1105" s="40"/>
      <c r="AB1105" s="40"/>
      <c r="AC1105" s="40"/>
      <c r="AD1105" s="40"/>
      <c r="AE1105" s="40"/>
      <c r="AF1105" s="40"/>
      <c r="AG1105" s="40"/>
      <c r="AH1105" s="40"/>
      <c r="AI1105" s="40"/>
      <c r="AJ1105" s="40"/>
      <c r="AK1105" s="40"/>
    </row>
    <row r="1106">
      <c r="A1106" s="300"/>
      <c r="B1106" s="300"/>
      <c r="C1106" s="300"/>
      <c r="D1106" s="300"/>
      <c r="E1106" s="300"/>
      <c r="F1106" s="329"/>
      <c r="G1106" s="300"/>
      <c r="H1106" s="300"/>
      <c r="I1106" s="300"/>
      <c r="J1106" s="300"/>
      <c r="K1106" s="300"/>
      <c r="L1106" s="329"/>
      <c r="M1106" s="29" t="str">
        <f t="shared" si="1"/>
        <v/>
      </c>
      <c r="N1106" s="31" t="str">
        <f>IFERROR(__xludf.DUMMYFUNCTION("IF(Account!$F1106&lt;&gt;"""", VALUE(REGEXREPLACE($I1106, ""\,"", ""."")), """")"),"")</f>
        <v/>
      </c>
      <c r="O1106" s="33" t="str">
        <f>IF(Account!$F1106&lt;&gt;"", DATEVALUE(MID($A1106,4,3) &amp; LEFT($A1106,3) &amp; RIGHT($A1106,4)) + TIMEVALUE($B1106), "")</f>
        <v/>
      </c>
      <c r="P1106" s="34" t="str">
        <f>IF(Account!$F1106&lt;&gt;"", DATEVALUE(MID($C1106,4,3) &amp; LEFT($C1106,3) &amp; RIGHT($C1106,4)), "")</f>
        <v/>
      </c>
      <c r="Q1106" s="35" t="str">
        <f t="array" ref="Q1106">IF($R1106&lt;&gt;"",IFERROR(INDEX(Investment!$A:$A,MATCH($R1106,Investment!$H:$H,0))),)</f>
        <v/>
      </c>
      <c r="R1106" s="36" t="str">
        <f t="array" ref="R1106">IF(AND($Y1106="change",$H1106="EUR"),IF(AND($AA1106="Crédit",$O1106=$O1107),$R1107,IF(AND($AA1106="Débit",$O1106=$O1105),$R1105)),IF(OR(AND(OR($E1106&lt;&gt;"",$M1106=""),$N1106&lt;&gt;0),$A1106=""),IFERROR(INDEX(Investment!$H:$H,MATCH($E1106,Investment!$F:$F,0))),IFERROR(INDEX($R1107:$R1119,MATCH(SUBSTITUTE($I1106,"-","",1),$K1107:$K1119,0)),INDEX($R1107:$R1119,MATCH($K1106,$K1107:$K1119,0)))))</f>
        <v/>
      </c>
      <c r="S1106" s="35" t="str">
        <f t="shared" si="2"/>
        <v/>
      </c>
      <c r="T1106" s="37" t="str">
        <f t="shared" si="3"/>
        <v/>
      </c>
      <c r="U1106" s="38" t="str">
        <f t="shared" si="4"/>
        <v/>
      </c>
      <c r="V1106" s="31" t="str">
        <f t="shared" si="5"/>
        <v/>
      </c>
      <c r="W1106" s="39" t="str">
        <f>IFERROR(__xludf.DUMMYFUNCTION(" IF(Account!$F1106&lt;&gt;"""", SPLIT(Account!$F1106, "" ""), """")"),"")</f>
        <v/>
      </c>
      <c r="X1106" s="40"/>
      <c r="Y1106" s="40"/>
      <c r="Z1106" s="40"/>
      <c r="AA1106" s="40"/>
      <c r="AB1106" s="40"/>
      <c r="AC1106" s="40"/>
      <c r="AD1106" s="40"/>
      <c r="AE1106" s="40"/>
      <c r="AF1106" s="40"/>
      <c r="AG1106" s="40"/>
      <c r="AH1106" s="40"/>
      <c r="AI1106" s="40"/>
      <c r="AJ1106" s="40"/>
      <c r="AK1106" s="40"/>
    </row>
    <row r="1107">
      <c r="A1107" s="300"/>
      <c r="B1107" s="300"/>
      <c r="C1107" s="300"/>
      <c r="D1107" s="300"/>
      <c r="E1107" s="300"/>
      <c r="F1107" s="329"/>
      <c r="G1107" s="300"/>
      <c r="H1107" s="300"/>
      <c r="I1107" s="300"/>
      <c r="J1107" s="300"/>
      <c r="K1107" s="300"/>
      <c r="L1107" s="329"/>
      <c r="M1107" s="29" t="str">
        <f t="shared" si="1"/>
        <v/>
      </c>
      <c r="N1107" s="31" t="str">
        <f>IFERROR(__xludf.DUMMYFUNCTION("IF(Account!$F1107&lt;&gt;"""", VALUE(REGEXREPLACE($I1107, ""\,"", ""."")), """")"),"")</f>
        <v/>
      </c>
      <c r="O1107" s="33" t="str">
        <f>IF(Account!$F1107&lt;&gt;"", DATEVALUE(MID($A1107,4,3) &amp; LEFT($A1107,3) &amp; RIGHT($A1107,4)) + TIMEVALUE($B1107), "")</f>
        <v/>
      </c>
      <c r="P1107" s="34" t="str">
        <f>IF(Account!$F1107&lt;&gt;"", DATEVALUE(MID($C1107,4,3) &amp; LEFT($C1107,3) &amp; RIGHT($C1107,4)), "")</f>
        <v/>
      </c>
      <c r="Q1107" s="35" t="str">
        <f t="array" ref="Q1107">IF($R1107&lt;&gt;"",IFERROR(INDEX(Investment!$A:$A,MATCH($R1107,Investment!$H:$H,0))),)</f>
        <v/>
      </c>
      <c r="R1107" s="36" t="str">
        <f t="array" ref="R1107">IF(AND($Y1107="change",$H1107="EUR"),IF(AND($AA1107="Crédit",$O1107=$O1108),$R1108,IF(AND($AA1107="Débit",$O1107=$O1106),$R1106)),IF(OR(AND(OR($E1107&lt;&gt;"",$M1107=""),$N1107&lt;&gt;0),$A1107=""),IFERROR(INDEX(Investment!$H:$H,MATCH($E1107,Investment!$F:$F,0))),IFERROR(INDEX($R1108:$R1119,MATCH(SUBSTITUTE($I1107,"-","",1),$K1108:$K1119,0)),INDEX($R1108:$R1119,MATCH($K1107,$K1108:$K1119,0)))))</f>
        <v/>
      </c>
      <c r="S1107" s="35" t="str">
        <f t="shared" si="2"/>
        <v/>
      </c>
      <c r="T1107" s="37" t="str">
        <f t="shared" si="3"/>
        <v/>
      </c>
      <c r="U1107" s="38" t="str">
        <f t="shared" si="4"/>
        <v/>
      </c>
      <c r="V1107" s="31" t="str">
        <f t="shared" si="5"/>
        <v/>
      </c>
      <c r="W1107" s="39" t="str">
        <f>IFERROR(__xludf.DUMMYFUNCTION(" IF(Account!$F1107&lt;&gt;"""", SPLIT(Account!$F1107, "" ""), """")"),"")</f>
        <v/>
      </c>
      <c r="X1107" s="40"/>
      <c r="Y1107" s="40"/>
      <c r="Z1107" s="40"/>
      <c r="AA1107" s="40"/>
      <c r="AB1107" s="40"/>
      <c r="AC1107" s="40"/>
      <c r="AD1107" s="40"/>
      <c r="AE1107" s="40"/>
      <c r="AF1107" s="40"/>
      <c r="AG1107" s="40"/>
      <c r="AH1107" s="40"/>
      <c r="AI1107" s="40"/>
      <c r="AJ1107" s="40"/>
      <c r="AK1107" s="40"/>
    </row>
    <row r="1108">
      <c r="A1108" s="300"/>
      <c r="B1108" s="300"/>
      <c r="C1108" s="300"/>
      <c r="D1108" s="300"/>
      <c r="E1108" s="300"/>
      <c r="F1108" s="329"/>
      <c r="G1108" s="300"/>
      <c r="H1108" s="300"/>
      <c r="I1108" s="300"/>
      <c r="J1108" s="300"/>
      <c r="K1108" s="300"/>
      <c r="L1108" s="329"/>
      <c r="M1108" s="29" t="str">
        <f t="shared" si="1"/>
        <v/>
      </c>
      <c r="N1108" s="31" t="str">
        <f>IFERROR(__xludf.DUMMYFUNCTION("IF(Account!$F1108&lt;&gt;"""", VALUE(REGEXREPLACE($I1108, ""\,"", ""."")), """")"),"")</f>
        <v/>
      </c>
      <c r="O1108" s="33" t="str">
        <f>IF(Account!$F1108&lt;&gt;"", DATEVALUE(MID($A1108,4,3) &amp; LEFT($A1108,3) &amp; RIGHT($A1108,4)) + TIMEVALUE($B1108), "")</f>
        <v/>
      </c>
      <c r="P1108" s="34" t="str">
        <f>IF(Account!$F1108&lt;&gt;"", DATEVALUE(MID($C1108,4,3) &amp; LEFT($C1108,3) &amp; RIGHT($C1108,4)), "")</f>
        <v/>
      </c>
      <c r="Q1108" s="35" t="str">
        <f t="array" ref="Q1108">IF($R1108&lt;&gt;"",IFERROR(INDEX(Investment!$A:$A,MATCH($R1108,Investment!$H:$H,0))),)</f>
        <v/>
      </c>
      <c r="R1108" s="36" t="str">
        <f t="array" ref="R1108">IF(AND($Y1108="change",$H1108="EUR"),IF(AND($AA1108="Crédit",$O1108=$O1109),$R1109,IF(AND($AA1108="Débit",$O1108=$O1107),$R1107)),IF(OR(AND(OR($E1108&lt;&gt;"",$M1108=""),$N1108&lt;&gt;0),$A1108=""),IFERROR(INDEX(Investment!$H:$H,MATCH($E1108,Investment!$F:$F,0))),IFERROR(INDEX($R1109:$R1119,MATCH(SUBSTITUTE($I1108,"-","",1),$K1109:$K1119,0)),INDEX($R1109:$R1119,MATCH($K1108,$K1109:$K1119,0)))))</f>
        <v/>
      </c>
      <c r="S1108" s="35" t="str">
        <f t="shared" si="2"/>
        <v/>
      </c>
      <c r="T1108" s="37" t="str">
        <f t="shared" si="3"/>
        <v/>
      </c>
      <c r="U1108" s="38" t="str">
        <f t="shared" si="4"/>
        <v/>
      </c>
      <c r="V1108" s="31" t="str">
        <f t="shared" si="5"/>
        <v/>
      </c>
      <c r="W1108" s="39" t="str">
        <f>IFERROR(__xludf.DUMMYFUNCTION(" IF(Account!$F1108&lt;&gt;"""", SPLIT(Account!$F1108, "" ""), """")"),"")</f>
        <v/>
      </c>
      <c r="X1108" s="40"/>
      <c r="Y1108" s="40"/>
      <c r="Z1108" s="40"/>
      <c r="AA1108" s="40"/>
      <c r="AB1108" s="40"/>
      <c r="AC1108" s="40"/>
      <c r="AD1108" s="40"/>
      <c r="AE1108" s="40"/>
      <c r="AF1108" s="40"/>
      <c r="AG1108" s="40"/>
      <c r="AH1108" s="40"/>
      <c r="AI1108" s="40"/>
      <c r="AJ1108" s="40"/>
      <c r="AK1108" s="40"/>
    </row>
    <row r="1109">
      <c r="A1109" s="300"/>
      <c r="B1109" s="300"/>
      <c r="C1109" s="300"/>
      <c r="D1109" s="300"/>
      <c r="E1109" s="300"/>
      <c r="F1109" s="329"/>
      <c r="G1109" s="300"/>
      <c r="H1109" s="300"/>
      <c r="I1109" s="300"/>
      <c r="J1109" s="300"/>
      <c r="K1109" s="300"/>
      <c r="L1109" s="329"/>
      <c r="M1109" s="29" t="str">
        <f t="shared" si="1"/>
        <v/>
      </c>
      <c r="N1109" s="31" t="str">
        <f>IFERROR(__xludf.DUMMYFUNCTION("IF(Account!$F1109&lt;&gt;"""", VALUE(REGEXREPLACE($I1109, ""\,"", ""."")), """")"),"")</f>
        <v/>
      </c>
      <c r="O1109" s="33" t="str">
        <f>IF(Account!$F1109&lt;&gt;"", DATEVALUE(MID($A1109,4,3) &amp; LEFT($A1109,3) &amp; RIGHT($A1109,4)) + TIMEVALUE($B1109), "")</f>
        <v/>
      </c>
      <c r="P1109" s="34" t="str">
        <f>IF(Account!$F1109&lt;&gt;"", DATEVALUE(MID($C1109,4,3) &amp; LEFT($C1109,3) &amp; RIGHT($C1109,4)), "")</f>
        <v/>
      </c>
      <c r="Q1109" s="35" t="str">
        <f t="array" ref="Q1109">IF($R1109&lt;&gt;"",IFERROR(INDEX(Investment!$A:$A,MATCH($R1109,Investment!$H:$H,0))),)</f>
        <v/>
      </c>
      <c r="R1109" s="36" t="str">
        <f t="array" ref="R1109">IF(AND($Y1109="change",$H1109="EUR"),IF(AND($AA1109="Crédit",$O1109=$O1110),$R1110,IF(AND($AA1109="Débit",$O1109=$O1108),$R1108)),IF(OR(AND(OR($E1109&lt;&gt;"",$M1109=""),$N1109&lt;&gt;0),$A1109=""),IFERROR(INDEX(Investment!$H:$H,MATCH($E1109,Investment!$F:$F,0))),IFERROR(INDEX($R1110:$R1119,MATCH(SUBSTITUTE($I1109,"-","",1),$K1110:$K1119,0)),INDEX($R1110:$R1119,MATCH($K1109,$K1110:$K1119,0)))))</f>
        <v/>
      </c>
      <c r="S1109" s="35" t="str">
        <f t="shared" si="2"/>
        <v/>
      </c>
      <c r="T1109" s="37" t="str">
        <f t="shared" si="3"/>
        <v/>
      </c>
      <c r="U1109" s="38" t="str">
        <f t="shared" si="4"/>
        <v/>
      </c>
      <c r="V1109" s="31" t="str">
        <f t="shared" si="5"/>
        <v/>
      </c>
      <c r="W1109" s="39" t="str">
        <f>IFERROR(__xludf.DUMMYFUNCTION(" IF(Account!$F1109&lt;&gt;"""", SPLIT(Account!$F1109, "" ""), """")"),"")</f>
        <v/>
      </c>
      <c r="X1109" s="40"/>
      <c r="Y1109" s="40"/>
      <c r="Z1109" s="40"/>
      <c r="AA1109" s="40"/>
      <c r="AB1109" s="40"/>
      <c r="AC1109" s="40"/>
      <c r="AD1109" s="40"/>
      <c r="AE1109" s="40"/>
      <c r="AF1109" s="40"/>
      <c r="AG1109" s="40"/>
      <c r="AH1109" s="40"/>
      <c r="AI1109" s="40"/>
      <c r="AJ1109" s="40"/>
      <c r="AK1109" s="40"/>
    </row>
    <row r="1110">
      <c r="A1110" s="300"/>
      <c r="B1110" s="300"/>
      <c r="C1110" s="300"/>
      <c r="D1110" s="300"/>
      <c r="E1110" s="300"/>
      <c r="F1110" s="329"/>
      <c r="G1110" s="300"/>
      <c r="H1110" s="300"/>
      <c r="I1110" s="300"/>
      <c r="J1110" s="300"/>
      <c r="K1110" s="300"/>
      <c r="L1110" s="329"/>
      <c r="M1110" s="29" t="str">
        <f t="shared" si="1"/>
        <v/>
      </c>
      <c r="N1110" s="31" t="str">
        <f>IFERROR(__xludf.DUMMYFUNCTION("IF(Account!$F1110&lt;&gt;"""", VALUE(REGEXREPLACE($I1110, ""\,"", ""."")), """")"),"")</f>
        <v/>
      </c>
      <c r="O1110" s="33" t="str">
        <f>IF(Account!$F1110&lt;&gt;"", DATEVALUE(MID($A1110,4,3) &amp; LEFT($A1110,3) &amp; RIGHT($A1110,4)) + TIMEVALUE($B1110), "")</f>
        <v/>
      </c>
      <c r="P1110" s="34" t="str">
        <f>IF(Account!$F1110&lt;&gt;"", DATEVALUE(MID($C1110,4,3) &amp; LEFT($C1110,3) &amp; RIGHT($C1110,4)), "")</f>
        <v/>
      </c>
      <c r="Q1110" s="35" t="str">
        <f t="array" ref="Q1110">IF($R1110&lt;&gt;"",IFERROR(INDEX(Investment!$A:$A,MATCH($R1110,Investment!$H:$H,0))),)</f>
        <v/>
      </c>
      <c r="R1110" s="36" t="str">
        <f t="array" ref="R1110">IF(AND($Y1110="change",$H1110="EUR"),IF(AND($AA1110="Crédit",$O1110=$O1111),$R1111,IF(AND($AA1110="Débit",$O1110=$O1109),$R1109)),IF(OR(AND(OR($E1110&lt;&gt;"",$M1110=""),$N1110&lt;&gt;0),$A1110=""),IFERROR(INDEX(Investment!$H:$H,MATCH($E1110,Investment!$F:$F,0))),IFERROR(INDEX($R1111:$R1119,MATCH(SUBSTITUTE($I1110,"-","",1),$K1111:$K1119,0)),INDEX($R1111:$R1119,MATCH($K1110,$K1111:$K1119,0)))))</f>
        <v/>
      </c>
      <c r="S1110" s="35" t="str">
        <f t="shared" si="2"/>
        <v/>
      </c>
      <c r="T1110" s="37" t="str">
        <f t="shared" si="3"/>
        <v/>
      </c>
      <c r="U1110" s="38" t="str">
        <f t="shared" si="4"/>
        <v/>
      </c>
      <c r="V1110" s="31" t="str">
        <f t="shared" si="5"/>
        <v/>
      </c>
      <c r="W1110" s="39" t="str">
        <f>IFERROR(__xludf.DUMMYFUNCTION(" IF(Account!$F1110&lt;&gt;"""", SPLIT(Account!$F1110, "" ""), """")"),"")</f>
        <v/>
      </c>
      <c r="X1110" s="40"/>
      <c r="Y1110" s="40"/>
      <c r="Z1110" s="40"/>
      <c r="AA1110" s="40"/>
      <c r="AB1110" s="40"/>
      <c r="AC1110" s="40"/>
      <c r="AD1110" s="40"/>
      <c r="AE1110" s="40"/>
      <c r="AF1110" s="40"/>
      <c r="AG1110" s="40"/>
      <c r="AH1110" s="40"/>
      <c r="AI1110" s="40"/>
      <c r="AJ1110" s="40"/>
      <c r="AK1110" s="40"/>
    </row>
    <row r="1111">
      <c r="A1111" s="300"/>
      <c r="B1111" s="300"/>
      <c r="C1111" s="300"/>
      <c r="D1111" s="300"/>
      <c r="E1111" s="300"/>
      <c r="F1111" s="329"/>
      <c r="G1111" s="300"/>
      <c r="H1111" s="300"/>
      <c r="I1111" s="300"/>
      <c r="J1111" s="300"/>
      <c r="K1111" s="300"/>
      <c r="L1111" s="329"/>
      <c r="M1111" s="29" t="str">
        <f t="shared" si="1"/>
        <v/>
      </c>
      <c r="N1111" s="31" t="str">
        <f>IFERROR(__xludf.DUMMYFUNCTION("IF(Account!$F1111&lt;&gt;"""", VALUE(REGEXREPLACE($I1111, ""\,"", ""."")), """")"),"")</f>
        <v/>
      </c>
      <c r="O1111" s="33" t="str">
        <f>IF(Account!$F1111&lt;&gt;"", DATEVALUE(MID($A1111,4,3) &amp; LEFT($A1111,3) &amp; RIGHT($A1111,4)) + TIMEVALUE($B1111), "")</f>
        <v/>
      </c>
      <c r="P1111" s="34" t="str">
        <f>IF(Account!$F1111&lt;&gt;"", DATEVALUE(MID($C1111,4,3) &amp; LEFT($C1111,3) &amp; RIGHT($C1111,4)), "")</f>
        <v/>
      </c>
      <c r="Q1111" s="35" t="str">
        <f t="array" ref="Q1111">IF($R1111&lt;&gt;"",IFERROR(INDEX(Investment!$A:$A,MATCH($R1111,Investment!$H:$H,0))),)</f>
        <v/>
      </c>
      <c r="R1111" s="36" t="str">
        <f t="array" ref="R1111">IF(AND($Y1111="change",$H1111="EUR"),IF(AND($AA1111="Crédit",$O1111=$O1112),$R1112,IF(AND($AA1111="Débit",$O1111=$O1110),$R1110)),IF(OR(AND(OR($E1111&lt;&gt;"",$M1111=""),$N1111&lt;&gt;0),$A1111=""),IFERROR(INDEX(Investment!$H:$H,MATCH($E1111,Investment!$F:$F,0))),IFERROR(INDEX($R1112:$R1119,MATCH(SUBSTITUTE($I1111,"-","",1),$K1112:$K1119,0)),INDEX($R1112:$R1119,MATCH($K1111,$K1112:$K1119,0)))))</f>
        <v/>
      </c>
      <c r="S1111" s="35" t="str">
        <f t="shared" si="2"/>
        <v/>
      </c>
      <c r="T1111" s="37" t="str">
        <f t="shared" si="3"/>
        <v/>
      </c>
      <c r="U1111" s="38" t="str">
        <f t="shared" si="4"/>
        <v/>
      </c>
      <c r="V1111" s="31" t="str">
        <f t="shared" si="5"/>
        <v/>
      </c>
      <c r="W1111" s="39" t="str">
        <f>IFERROR(__xludf.DUMMYFUNCTION(" IF(Account!$F1111&lt;&gt;"""", SPLIT(Account!$F1111, "" ""), """")"),"")</f>
        <v/>
      </c>
      <c r="X1111" s="40"/>
      <c r="Y1111" s="40"/>
      <c r="Z1111" s="40"/>
      <c r="AA1111" s="40"/>
      <c r="AB1111" s="40"/>
      <c r="AC1111" s="40"/>
      <c r="AD1111" s="40"/>
      <c r="AE1111" s="40"/>
      <c r="AF1111" s="40"/>
      <c r="AG1111" s="40"/>
      <c r="AH1111" s="40"/>
      <c r="AI1111" s="40"/>
      <c r="AJ1111" s="40"/>
      <c r="AK1111" s="40"/>
    </row>
    <row r="1112">
      <c r="A1112" s="300"/>
      <c r="B1112" s="300"/>
      <c r="C1112" s="300"/>
      <c r="D1112" s="300"/>
      <c r="E1112" s="300"/>
      <c r="F1112" s="329"/>
      <c r="G1112" s="300"/>
      <c r="H1112" s="300"/>
      <c r="I1112" s="300"/>
      <c r="J1112" s="300"/>
      <c r="K1112" s="300"/>
      <c r="L1112" s="329"/>
      <c r="M1112" s="29" t="str">
        <f t="shared" si="1"/>
        <v/>
      </c>
      <c r="N1112" s="31" t="str">
        <f>IFERROR(__xludf.DUMMYFUNCTION("IF(Account!$F1112&lt;&gt;"""", VALUE(REGEXREPLACE($I1112, ""\,"", ""."")), """")"),"")</f>
        <v/>
      </c>
      <c r="O1112" s="33" t="str">
        <f>IF(Account!$F1112&lt;&gt;"", DATEVALUE(MID($A1112,4,3) &amp; LEFT($A1112,3) &amp; RIGHT($A1112,4)) + TIMEVALUE($B1112), "")</f>
        <v/>
      </c>
      <c r="P1112" s="34" t="str">
        <f>IF(Account!$F1112&lt;&gt;"", DATEVALUE(MID($C1112,4,3) &amp; LEFT($C1112,3) &amp; RIGHT($C1112,4)), "")</f>
        <v/>
      </c>
      <c r="Q1112" s="35" t="str">
        <f t="array" ref="Q1112">IF($R1112&lt;&gt;"",IFERROR(INDEX(Investment!$A:$A,MATCH($R1112,Investment!$H:$H,0))),)</f>
        <v/>
      </c>
      <c r="R1112" s="36" t="str">
        <f t="array" ref="R1112">IF(AND($Y1112="change",$H1112="EUR"),IF(AND($AA1112="Crédit",$O1112=$O1113),$R1113,IF(AND($AA1112="Débit",$O1112=$O1111),$R1111)),IF(OR(AND(OR($E1112&lt;&gt;"",$M1112=""),$N1112&lt;&gt;0),$A1112=""),IFERROR(INDEX(Investment!$H:$H,MATCH($E1112,Investment!$F:$F,0))),IFERROR(INDEX($R1113:$R1119,MATCH(SUBSTITUTE($I1112,"-","",1),$K1113:$K1119,0)),INDEX($R1113:$R1119,MATCH($K1112,$K1113:$K1119,0)))))</f>
        <v/>
      </c>
      <c r="S1112" s="35" t="str">
        <f t="shared" si="2"/>
        <v/>
      </c>
      <c r="T1112" s="37" t="str">
        <f t="shared" si="3"/>
        <v/>
      </c>
      <c r="U1112" s="38" t="str">
        <f t="shared" si="4"/>
        <v/>
      </c>
      <c r="V1112" s="31" t="str">
        <f t="shared" si="5"/>
        <v/>
      </c>
      <c r="W1112" s="39" t="str">
        <f>IFERROR(__xludf.DUMMYFUNCTION(" IF(Account!$F1112&lt;&gt;"""", SPLIT(Account!$F1112, "" ""), """")"),"")</f>
        <v/>
      </c>
      <c r="X1112" s="40"/>
      <c r="Y1112" s="40"/>
      <c r="Z1112" s="40"/>
      <c r="AA1112" s="40"/>
      <c r="AB1112" s="40"/>
      <c r="AC1112" s="40"/>
      <c r="AD1112" s="40"/>
      <c r="AE1112" s="40"/>
      <c r="AF1112" s="40"/>
      <c r="AG1112" s="40"/>
      <c r="AH1112" s="40"/>
      <c r="AI1112" s="40"/>
      <c r="AJ1112" s="40"/>
      <c r="AK1112" s="40"/>
    </row>
    <row r="1113">
      <c r="A1113" s="300"/>
      <c r="B1113" s="300"/>
      <c r="C1113" s="300"/>
      <c r="D1113" s="300"/>
      <c r="E1113" s="300"/>
      <c r="F1113" s="329"/>
      <c r="G1113" s="300"/>
      <c r="H1113" s="300"/>
      <c r="I1113" s="300"/>
      <c r="J1113" s="300"/>
      <c r="K1113" s="300"/>
      <c r="L1113" s="329"/>
      <c r="M1113" s="29" t="str">
        <f t="shared" si="1"/>
        <v/>
      </c>
      <c r="N1113" s="31" t="str">
        <f>IFERROR(__xludf.DUMMYFUNCTION("IF(Account!$F1113&lt;&gt;"""", VALUE(REGEXREPLACE($I1113, ""\,"", ""."")), """")"),"")</f>
        <v/>
      </c>
      <c r="O1113" s="33" t="str">
        <f>IF(Account!$F1113&lt;&gt;"", DATEVALUE(MID($A1113,4,3) &amp; LEFT($A1113,3) &amp; RIGHT($A1113,4)) + TIMEVALUE($B1113), "")</f>
        <v/>
      </c>
      <c r="P1113" s="34" t="str">
        <f>IF(Account!$F1113&lt;&gt;"", DATEVALUE(MID($C1113,4,3) &amp; LEFT($C1113,3) &amp; RIGHT($C1113,4)), "")</f>
        <v/>
      </c>
      <c r="Q1113" s="35" t="str">
        <f t="array" ref="Q1113">IF($R1113&lt;&gt;"",IFERROR(INDEX(Investment!$A:$A,MATCH($R1113,Investment!$H:$H,0))),)</f>
        <v/>
      </c>
      <c r="R1113" s="36" t="str">
        <f t="array" ref="R1113">IF(AND($Y1113="change",$H1113="EUR"),IF(AND($AA1113="Crédit",$O1113=$O1114),$R1114,IF(AND($AA1113="Débit",$O1113=$O1112),$R1112)),IF(OR(AND(OR($E1113&lt;&gt;"",$M1113=""),$N1113&lt;&gt;0),$A1113=""),IFERROR(INDEX(Investment!$H:$H,MATCH($E1113,Investment!$F:$F,0))),IFERROR(INDEX($R1114:$R1119,MATCH(SUBSTITUTE($I1113,"-","",1),$K1114:$K1119,0)),INDEX($R1114:$R1119,MATCH($K1113,$K1114:$K1119,0)))))</f>
        <v/>
      </c>
      <c r="S1113" s="35" t="str">
        <f t="shared" si="2"/>
        <v/>
      </c>
      <c r="T1113" s="37" t="str">
        <f t="shared" si="3"/>
        <v/>
      </c>
      <c r="U1113" s="38" t="str">
        <f t="shared" si="4"/>
        <v/>
      </c>
      <c r="V1113" s="31" t="str">
        <f t="shared" si="5"/>
        <v/>
      </c>
      <c r="W1113" s="39" t="str">
        <f>IFERROR(__xludf.DUMMYFUNCTION(" IF(Account!$F1113&lt;&gt;"""", SPLIT(Account!$F1113, "" ""), """")"),"")</f>
        <v/>
      </c>
      <c r="X1113" s="40"/>
      <c r="Y1113" s="40"/>
      <c r="Z1113" s="40"/>
      <c r="AA1113" s="40"/>
      <c r="AB1113" s="40"/>
      <c r="AC1113" s="40"/>
      <c r="AD1113" s="40"/>
      <c r="AE1113" s="40"/>
      <c r="AF1113" s="40"/>
      <c r="AG1113" s="40"/>
      <c r="AH1113" s="40"/>
      <c r="AI1113" s="40"/>
      <c r="AJ1113" s="40"/>
      <c r="AK1113" s="40"/>
    </row>
    <row r="1114">
      <c r="A1114" s="300"/>
      <c r="B1114" s="300"/>
      <c r="C1114" s="300"/>
      <c r="D1114" s="300"/>
      <c r="E1114" s="300"/>
      <c r="F1114" s="329"/>
      <c r="G1114" s="300"/>
      <c r="H1114" s="300"/>
      <c r="I1114" s="300"/>
      <c r="J1114" s="300"/>
      <c r="K1114" s="300"/>
      <c r="L1114" s="329"/>
      <c r="M1114" s="29" t="str">
        <f t="shared" si="1"/>
        <v/>
      </c>
      <c r="N1114" s="31" t="str">
        <f>IFERROR(__xludf.DUMMYFUNCTION("IF(Account!$F1114&lt;&gt;"""", VALUE(REGEXREPLACE($I1114, ""\,"", ""."")), """")"),"")</f>
        <v/>
      </c>
      <c r="O1114" s="33" t="str">
        <f>IF(Account!$F1114&lt;&gt;"", DATEVALUE(MID($A1114,4,3) &amp; LEFT($A1114,3) &amp; RIGHT($A1114,4)) + TIMEVALUE($B1114), "")</f>
        <v/>
      </c>
      <c r="P1114" s="34" t="str">
        <f>IF(Account!$F1114&lt;&gt;"", DATEVALUE(MID($C1114,4,3) &amp; LEFT($C1114,3) &amp; RIGHT($C1114,4)), "")</f>
        <v/>
      </c>
      <c r="Q1114" s="35" t="str">
        <f t="array" ref="Q1114">IF($R1114&lt;&gt;"",IFERROR(INDEX(Investment!$A:$A,MATCH($R1114,Investment!$H:$H,0))),)</f>
        <v/>
      </c>
      <c r="R1114" s="36" t="str">
        <f t="array" ref="R1114">IF(AND($Y1114="change",$H1114="EUR"),IF(AND($AA1114="Crédit",$O1114=$O1115),$R1115,IF(AND($AA1114="Débit",$O1114=$O1113),$R1113)),IF(OR(AND(OR($E1114&lt;&gt;"",$M1114=""),$N1114&lt;&gt;0),$A1114=""),IFERROR(INDEX(Investment!$H:$H,MATCH($E1114,Investment!$F:$F,0))),IFERROR(INDEX($R1115:$R1119,MATCH(SUBSTITUTE($I1114,"-","",1),$K1115:$K1119,0)),INDEX($R1115:$R1119,MATCH($K1114,$K1115:$K1119,0)))))</f>
        <v/>
      </c>
      <c r="S1114" s="35" t="str">
        <f t="shared" si="2"/>
        <v/>
      </c>
      <c r="T1114" s="37" t="str">
        <f t="shared" si="3"/>
        <v/>
      </c>
      <c r="U1114" s="38" t="str">
        <f t="shared" si="4"/>
        <v/>
      </c>
      <c r="V1114" s="31" t="str">
        <f t="shared" si="5"/>
        <v/>
      </c>
      <c r="W1114" s="39" t="str">
        <f>IFERROR(__xludf.DUMMYFUNCTION(" IF(Account!$F1114&lt;&gt;"""", SPLIT(Account!$F1114, "" ""), """")"),"")</f>
        <v/>
      </c>
      <c r="X1114" s="40"/>
      <c r="Y1114" s="40"/>
      <c r="Z1114" s="40"/>
      <c r="AA1114" s="40"/>
      <c r="AB1114" s="40"/>
      <c r="AC1114" s="40"/>
      <c r="AD1114" s="40"/>
      <c r="AE1114" s="40"/>
      <c r="AF1114" s="40"/>
      <c r="AG1114" s="40"/>
      <c r="AH1114" s="40"/>
      <c r="AI1114" s="40"/>
      <c r="AJ1114" s="40"/>
      <c r="AK1114" s="40"/>
    </row>
    <row r="1115">
      <c r="A1115" s="300"/>
      <c r="B1115" s="300"/>
      <c r="C1115" s="300"/>
      <c r="D1115" s="300"/>
      <c r="E1115" s="300"/>
      <c r="F1115" s="329"/>
      <c r="G1115" s="300"/>
      <c r="H1115" s="300"/>
      <c r="I1115" s="300"/>
      <c r="J1115" s="300"/>
      <c r="K1115" s="300"/>
      <c r="L1115" s="329"/>
      <c r="M1115" s="29" t="str">
        <f t="shared" si="1"/>
        <v/>
      </c>
      <c r="N1115" s="31" t="str">
        <f>IFERROR(__xludf.DUMMYFUNCTION("IF(Account!$F1115&lt;&gt;"""", VALUE(REGEXREPLACE($I1115, ""\,"", ""."")), """")"),"")</f>
        <v/>
      </c>
      <c r="O1115" s="33" t="str">
        <f>IF(Account!$F1115&lt;&gt;"", DATEVALUE(MID($A1115,4,3) &amp; LEFT($A1115,3) &amp; RIGHT($A1115,4)) + TIMEVALUE($B1115), "")</f>
        <v/>
      </c>
      <c r="P1115" s="34" t="str">
        <f>IF(Account!$F1115&lt;&gt;"", DATEVALUE(MID($C1115,4,3) &amp; LEFT($C1115,3) &amp; RIGHT($C1115,4)), "")</f>
        <v/>
      </c>
      <c r="Q1115" s="35" t="str">
        <f t="array" ref="Q1115">IF($R1115&lt;&gt;"",IFERROR(INDEX(Investment!$A:$A,MATCH($R1115,Investment!$H:$H,0))),)</f>
        <v/>
      </c>
      <c r="R1115" s="36" t="str">
        <f t="array" ref="R1115">IF(AND($Y1115="change",$H1115="EUR"),IF(AND($AA1115="Crédit",$O1115=$O1116),$R1116,IF(AND($AA1115="Débit",$O1115=$O1114),$R1114)),IF(OR(AND(OR($E1115&lt;&gt;"",$M1115=""),$N1115&lt;&gt;0),$A1115=""),IFERROR(INDEX(Investment!$H:$H,MATCH($E1115,Investment!$F:$F,0))),IFERROR(INDEX($R1116:$R1119,MATCH(SUBSTITUTE($I1115,"-","",1),$K1116:$K1119,0)),INDEX($R1116:$R1119,MATCH($K1115,$K1116:$K1119,0)))))</f>
        <v/>
      </c>
      <c r="S1115" s="35" t="str">
        <f t="shared" si="2"/>
        <v/>
      </c>
      <c r="T1115" s="37" t="str">
        <f t="shared" si="3"/>
        <v/>
      </c>
      <c r="U1115" s="38" t="str">
        <f t="shared" si="4"/>
        <v/>
      </c>
      <c r="V1115" s="31" t="str">
        <f t="shared" si="5"/>
        <v/>
      </c>
      <c r="W1115" s="39" t="str">
        <f>IFERROR(__xludf.DUMMYFUNCTION(" IF(Account!$F1115&lt;&gt;"""", SPLIT(Account!$F1115, "" ""), """")"),"")</f>
        <v/>
      </c>
      <c r="X1115" s="40"/>
      <c r="Y1115" s="40"/>
      <c r="Z1115" s="40"/>
      <c r="AA1115" s="40"/>
      <c r="AB1115" s="40"/>
      <c r="AC1115" s="40"/>
      <c r="AD1115" s="40"/>
      <c r="AE1115" s="40"/>
      <c r="AF1115" s="40"/>
      <c r="AG1115" s="40"/>
      <c r="AH1115" s="40"/>
      <c r="AI1115" s="40"/>
      <c r="AJ1115" s="40"/>
      <c r="AK1115" s="40"/>
    </row>
    <row r="1116">
      <c r="A1116" s="300"/>
      <c r="B1116" s="300"/>
      <c r="C1116" s="300"/>
      <c r="D1116" s="300"/>
      <c r="E1116" s="300"/>
      <c r="F1116" s="329"/>
      <c r="G1116" s="300"/>
      <c r="H1116" s="300"/>
      <c r="I1116" s="300"/>
      <c r="J1116" s="300"/>
      <c r="K1116" s="300"/>
      <c r="L1116" s="329"/>
      <c r="M1116" s="29" t="str">
        <f t="shared" si="1"/>
        <v/>
      </c>
      <c r="N1116" s="31" t="str">
        <f>IFERROR(__xludf.DUMMYFUNCTION("IF(Account!$F1116&lt;&gt;"""", VALUE(REGEXREPLACE($I1116, ""\,"", ""."")), """")"),"")</f>
        <v/>
      </c>
      <c r="O1116" s="33" t="str">
        <f>IF(Account!$F1116&lt;&gt;"", DATEVALUE(MID($A1116,4,3) &amp; LEFT($A1116,3) &amp; RIGHT($A1116,4)) + TIMEVALUE($B1116), "")</f>
        <v/>
      </c>
      <c r="P1116" s="34" t="str">
        <f>IF(Account!$F1116&lt;&gt;"", DATEVALUE(MID($C1116,4,3) &amp; LEFT($C1116,3) &amp; RIGHT($C1116,4)), "")</f>
        <v/>
      </c>
      <c r="Q1116" s="35" t="str">
        <f t="array" ref="Q1116">IF($R1116&lt;&gt;"",IFERROR(INDEX(Investment!$A:$A,MATCH($R1116,Investment!$H:$H,0))),)</f>
        <v/>
      </c>
      <c r="R1116" s="36" t="str">
        <f t="array" ref="R1116">IF(AND($Y1116="change",$H1116="EUR"),IF(AND($AA1116="Crédit",$O1116=$O1117),$R1117,IF(AND($AA1116="Débit",$O1116=$O1115),$R1115)),IF(OR(AND(OR($E1116&lt;&gt;"",$M1116=""),$N1116&lt;&gt;0),$A1116=""),IFERROR(INDEX(Investment!$H:$H,MATCH($E1116,Investment!$F:$F,0))),IFERROR(INDEX($R1117:$R1119,MATCH(SUBSTITUTE($I1116,"-","",1),$K1117:$K1119,0)),INDEX($R1117:$R1119,MATCH($K1116,$K1117:$K1119,0)))))</f>
        <v/>
      </c>
      <c r="S1116" s="35" t="str">
        <f t="shared" si="2"/>
        <v/>
      </c>
      <c r="T1116" s="37" t="str">
        <f t="shared" si="3"/>
        <v/>
      </c>
      <c r="U1116" s="38" t="str">
        <f t="shared" si="4"/>
        <v/>
      </c>
      <c r="V1116" s="31" t="str">
        <f t="shared" si="5"/>
        <v/>
      </c>
      <c r="W1116" s="39" t="str">
        <f>IFERROR(__xludf.DUMMYFUNCTION(" IF(Account!$F1116&lt;&gt;"""", SPLIT(Account!$F1116, "" ""), """")"),"")</f>
        <v/>
      </c>
      <c r="X1116" s="40"/>
      <c r="Y1116" s="40"/>
      <c r="Z1116" s="40"/>
      <c r="AA1116" s="40"/>
      <c r="AB1116" s="40"/>
      <c r="AC1116" s="40"/>
      <c r="AD1116" s="40"/>
      <c r="AE1116" s="40"/>
      <c r="AF1116" s="40"/>
      <c r="AG1116" s="40"/>
      <c r="AH1116" s="40"/>
      <c r="AI1116" s="40"/>
      <c r="AJ1116" s="40"/>
      <c r="AK1116" s="40"/>
    </row>
    <row r="1117">
      <c r="A1117" s="300"/>
      <c r="B1117" s="300"/>
      <c r="C1117" s="300"/>
      <c r="D1117" s="300"/>
      <c r="E1117" s="300"/>
      <c r="F1117" s="329"/>
      <c r="G1117" s="300"/>
      <c r="H1117" s="300"/>
      <c r="I1117" s="300"/>
      <c r="J1117" s="300"/>
      <c r="K1117" s="300"/>
      <c r="L1117" s="329"/>
      <c r="M1117" s="29" t="str">
        <f t="shared" si="1"/>
        <v/>
      </c>
      <c r="N1117" s="31" t="str">
        <f>IFERROR(__xludf.DUMMYFUNCTION("IF(Account!$F1117&lt;&gt;"""", VALUE(REGEXREPLACE($I1117, ""\,"", ""."")), """")"),"")</f>
        <v/>
      </c>
      <c r="O1117" s="33" t="str">
        <f>IF(Account!$F1117&lt;&gt;"", DATEVALUE(MID($A1117,4,3) &amp; LEFT($A1117,3) &amp; RIGHT($A1117,4)) + TIMEVALUE($B1117), "")</f>
        <v/>
      </c>
      <c r="P1117" s="34" t="str">
        <f>IF(Account!$F1117&lt;&gt;"", DATEVALUE(MID($C1117,4,3) &amp; LEFT($C1117,3) &amp; RIGHT($C1117,4)), "")</f>
        <v/>
      </c>
      <c r="Q1117" s="35" t="str">
        <f t="array" ref="Q1117">IF($R1117&lt;&gt;"",IFERROR(INDEX(Investment!$A:$A,MATCH($R1117,Investment!$H:$H,0))),)</f>
        <v/>
      </c>
      <c r="R1117" s="36" t="str">
        <f t="array" ref="R1117">IF(AND($Y1117="change",$H1117="EUR"),IF(AND($AA1117="Crédit",$O1117=$O1118),$R1118,IF(AND($AA1117="Débit",$O1117=$O1116),$R1116)),IF(OR(AND(OR($E1117&lt;&gt;"",$M1117=""),$N1117&lt;&gt;0),$A1117=""),IFERROR(INDEX(Investment!$H:$H,MATCH($E1117,Investment!$F:$F,0))),IFERROR(INDEX($R1118:$R1119,MATCH(SUBSTITUTE($I1117,"-","",1),$K1118:$K1119,0)),INDEX($R1118:$R1119,MATCH($K1117,$K1118:$K1119,0)))))</f>
        <v/>
      </c>
      <c r="S1117" s="35" t="str">
        <f t="shared" si="2"/>
        <v/>
      </c>
      <c r="T1117" s="37" t="str">
        <f t="shared" si="3"/>
        <v/>
      </c>
      <c r="U1117" s="38" t="str">
        <f t="shared" si="4"/>
        <v/>
      </c>
      <c r="V1117" s="31" t="str">
        <f t="shared" si="5"/>
        <v/>
      </c>
      <c r="W1117" s="39" t="str">
        <f>IFERROR(__xludf.DUMMYFUNCTION(" IF(Account!$F1117&lt;&gt;"""", SPLIT(Account!$F1117, "" ""), """")"),"")</f>
        <v/>
      </c>
      <c r="X1117" s="40"/>
      <c r="Y1117" s="40"/>
      <c r="Z1117" s="40"/>
      <c r="AA1117" s="40"/>
      <c r="AB1117" s="40"/>
      <c r="AC1117" s="40"/>
      <c r="AD1117" s="40"/>
      <c r="AE1117" s="40"/>
      <c r="AF1117" s="40"/>
      <c r="AG1117" s="40"/>
      <c r="AH1117" s="40"/>
      <c r="AI1117" s="40"/>
      <c r="AJ1117" s="40"/>
      <c r="AK1117" s="40"/>
    </row>
    <row r="1118">
      <c r="A1118" s="300"/>
      <c r="B1118" s="300"/>
      <c r="C1118" s="300"/>
      <c r="D1118" s="300"/>
      <c r="E1118" s="300"/>
      <c r="F1118" s="329"/>
      <c r="G1118" s="300"/>
      <c r="H1118" s="300"/>
      <c r="I1118" s="300"/>
      <c r="J1118" s="300"/>
      <c r="K1118" s="300"/>
      <c r="L1118" s="329"/>
      <c r="M1118" s="29" t="str">
        <f t="shared" si="1"/>
        <v/>
      </c>
      <c r="N1118" s="31" t="str">
        <f>IFERROR(__xludf.DUMMYFUNCTION("IF(Account!$F1118&lt;&gt;"""", VALUE(REGEXREPLACE($I1118, ""\,"", ""."")), """")"),"")</f>
        <v/>
      </c>
      <c r="O1118" s="33" t="str">
        <f>IF(Account!$F1118&lt;&gt;"", DATEVALUE(MID($A1118,4,3) &amp; LEFT($A1118,3) &amp; RIGHT($A1118,4)) + TIMEVALUE($B1118), "")</f>
        <v/>
      </c>
      <c r="P1118" s="34" t="str">
        <f>IF(Account!$F1118&lt;&gt;"", DATEVALUE(MID($C1118,4,3) &amp; LEFT($C1118,3) &amp; RIGHT($C1118,4)), "")</f>
        <v/>
      </c>
      <c r="Q1118" s="35" t="str">
        <f t="array" ref="Q1118">IF($R1118&lt;&gt;"",IFERROR(INDEX(Investment!$A:$A,MATCH($R1118,Investment!$H:$H,0))),)</f>
        <v/>
      </c>
      <c r="R1118" s="36" t="str">
        <f t="array" ref="R1118">IF(AND($Y1118="change",$H1118="EUR"),IF(AND($AA1118="Crédit",$O1118=$O1119),$R1119,IF(AND($AA1118="Débit",$O1118=$O1117),$R1117)),IF(OR(AND(OR($E1118&lt;&gt;"",$M1118=""),$N1118&lt;&gt;0),$A1118=""),IFERROR(INDEX(Investment!$H:$H,MATCH($E1118,Investment!$F:$F,0))),IFERROR(INDEX($R1119,MATCH(SUBSTITUTE($I1118,"-","",1),$K1119,0)),INDEX($R1119,MATCH($K1118,$K1119,0)))))</f>
        <v/>
      </c>
      <c r="S1118" s="35" t="str">
        <f t="shared" si="2"/>
        <v/>
      </c>
      <c r="T1118" s="37" t="str">
        <f t="shared" si="3"/>
        <v/>
      </c>
      <c r="U1118" s="38" t="str">
        <f t="shared" si="4"/>
        <v/>
      </c>
      <c r="V1118" s="31" t="str">
        <f t="shared" si="5"/>
        <v/>
      </c>
      <c r="W1118" s="39" t="str">
        <f>IFERROR(__xludf.DUMMYFUNCTION(" IF(Account!$F1118&lt;&gt;"""", SPLIT(Account!$F1118, "" ""), """")"),"")</f>
        <v/>
      </c>
      <c r="X1118" s="40"/>
      <c r="Y1118" s="40"/>
      <c r="Z1118" s="40"/>
      <c r="AA1118" s="40"/>
      <c r="AB1118" s="40"/>
      <c r="AC1118" s="40"/>
      <c r="AD1118" s="40"/>
      <c r="AE1118" s="40"/>
      <c r="AF1118" s="40"/>
      <c r="AG1118" s="40"/>
      <c r="AH1118" s="40"/>
      <c r="AI1118" s="40"/>
      <c r="AJ1118" s="40"/>
      <c r="AK1118" s="40"/>
    </row>
    <row r="1119">
      <c r="A1119" s="300"/>
      <c r="B1119" s="300"/>
      <c r="C1119" s="300"/>
      <c r="D1119" s="300"/>
      <c r="E1119" s="300"/>
      <c r="F1119" s="329"/>
      <c r="G1119" s="300"/>
      <c r="H1119" s="300"/>
      <c r="I1119" s="300"/>
      <c r="J1119" s="300"/>
      <c r="K1119" s="300"/>
      <c r="L1119" s="329"/>
      <c r="M1119" s="29" t="str">
        <f t="shared" si="1"/>
        <v/>
      </c>
      <c r="N1119" s="31" t="str">
        <f>IFERROR(__xludf.DUMMYFUNCTION("IF(Account!$F1119&lt;&gt;"""", VALUE(REGEXREPLACE($I1119, ""\,"", ""."")), """")"),"")</f>
        <v/>
      </c>
      <c r="O1119" s="33" t="str">
        <f>IF(Account!$F1119&lt;&gt;"", DATEVALUE(MID($A1119,4,3) &amp; LEFT($A1119,3) &amp; RIGHT($A1119,4)) + TIMEVALUE($B1119), "")</f>
        <v/>
      </c>
      <c r="P1119" s="34" t="str">
        <f>IF(Account!$F1119&lt;&gt;"", DATEVALUE(MID($C1119,4,3) &amp; LEFT($C1119,3) &amp; RIGHT($C1119,4)), "")</f>
        <v/>
      </c>
      <c r="Q1119" s="35" t="str">
        <f t="array" ref="Q1119">IF($R1119&lt;&gt;"",IFERROR(INDEX(Investment!$A:$A,MATCH($R1119,Investment!$H:$H,0))),)</f>
        <v/>
      </c>
      <c r="R1119" s="36" t="str">
        <f t="array" ref="R1119">IF(AND($Y1119="change",$H1119="EUR"),IF(AND($AA1119="Crédit",$O1119=$O1120),$R1120,IF(AND($AA1119="Débit",$O1119=$O1118),$R1118)),IF(OR(AND(OR($E1119&lt;&gt;"",$M1119=""),$N1119&lt;&gt;0),$A1119=""),IFERROR(INDEX(Investment!$H:$H,MATCH($E1119,Investment!$F:$F,0))),IFERROR(INDEX($R1119:$R1120,MATCH(SUBSTITUTE($I1119,"-","",1),$K1119:$K1120,0)),INDEX($R1119:$R1120,MATCH($K1119,$K1119:$K1120,0)))))</f>
        <v/>
      </c>
      <c r="S1119" s="35" t="str">
        <f t="shared" si="2"/>
        <v/>
      </c>
      <c r="T1119" s="37" t="str">
        <f t="shared" si="3"/>
        <v/>
      </c>
      <c r="U1119" s="38" t="str">
        <f t="shared" si="4"/>
        <v/>
      </c>
      <c r="V1119" s="31" t="str">
        <f t="shared" si="5"/>
        <v/>
      </c>
      <c r="W1119" s="39" t="str">
        <f>IFERROR(__xludf.DUMMYFUNCTION(" IF(Account!$F1119&lt;&gt;"""", SPLIT(Account!$F1119, "" ""), """")"),"")</f>
        <v/>
      </c>
      <c r="X1119" s="40"/>
      <c r="Y1119" s="40"/>
      <c r="Z1119" s="40"/>
      <c r="AA1119" s="40"/>
      <c r="AB1119" s="40"/>
      <c r="AC1119" s="40"/>
      <c r="AD1119" s="40"/>
      <c r="AE1119" s="40"/>
      <c r="AF1119" s="40"/>
      <c r="AG1119" s="40"/>
      <c r="AH1119" s="40"/>
      <c r="AI1119" s="40"/>
      <c r="AJ1119" s="40"/>
      <c r="AK1119" s="40"/>
    </row>
  </sheetData>
  <autoFilter ref="$A$1:$AK$575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2.75"/>
  <cols>
    <col customWidth="1" min="1" max="1" width="10.43"/>
    <col customWidth="1" min="2" max="2" width="29.71"/>
    <col customWidth="1" min="3" max="3" width="35.86"/>
    <col customWidth="1" min="4" max="4" width="21.71"/>
    <col customWidth="1" min="5" max="5" width="11.57"/>
    <col customWidth="1" min="6" max="6" width="8.57"/>
    <col customWidth="1" min="7" max="7" width="11.57"/>
    <col customWidth="1" min="8" max="8" width="53.86"/>
  </cols>
  <sheetData>
    <row r="1">
      <c r="A1" s="42" t="str">
        <f>IFERROR(__xludf.DUMMYFUNCTION("UNIQUE(Account!P:V)"),"Date")</f>
        <v>Date</v>
      </c>
      <c r="B1" s="43" t="str">
        <f>IFERROR(__xludf.DUMMYFUNCTION("""COMPUTED_VALUE"""),"Type")</f>
        <v>Type</v>
      </c>
      <c r="C1" s="44" t="str">
        <f>IFERROR(__xludf.DUMMYFUNCTION("""COMPUTED_VALUE"""),"Label")</f>
        <v>Label</v>
      </c>
      <c r="D1" s="43" t="str">
        <f>IFERROR(__xludf.DUMMYFUNCTION("""COMPUTED_VALUE"""),"Transaction")</f>
        <v>Transaction</v>
      </c>
      <c r="E1" s="43" t="str">
        <f>IFERROR(__xludf.DUMMYFUNCTION("""COMPUTED_VALUE"""),"Quantity")</f>
        <v>Quantity</v>
      </c>
      <c r="F1" s="45" t="str">
        <f>IFERROR(__xludf.DUMMYFUNCTION("""COMPUTED_VALUE"""),"Price")</f>
        <v>Price</v>
      </c>
      <c r="G1" s="46" t="str">
        <f>IFERROR(__xludf.DUMMYFUNCTION("""COMPUTED_VALUE"""),"Value")</f>
        <v>Value</v>
      </c>
      <c r="H1" s="1" t="s">
        <v>77</v>
      </c>
    </row>
    <row r="2">
      <c r="A2" s="47">
        <f>IFERROR(__xludf.DUMMYFUNCTION("""COMPUTED_VALUE"""),43642.0)</f>
        <v>43642</v>
      </c>
      <c r="B2" t="str">
        <f>IFERROR(__xludf.DUMMYFUNCTION("""COMPUTED_VALUE"""),"Long term US bonds (20-25 year)")</f>
        <v>Long term US bonds (20-25 year)</v>
      </c>
      <c r="C2" s="48" t="str">
        <f>IFERROR(__xludf.DUMMYFUNCTION("""COMPUTED_VALUE"""),"iShares Treasury Bond 20+ UCITS")</f>
        <v>iShares Treasury Bond 20+ UCITS</v>
      </c>
      <c r="D2" s="49" t="str">
        <f>IFERROR(__xludf.DUMMYFUNCTION("""COMPUTED_VALUE"""),"DIVIDEND")</f>
        <v>DIVIDEND</v>
      </c>
      <c r="E2" s="50" t="str">
        <f>IFERROR(__xludf.DUMMYFUNCTION("""COMPUTED_VALUE"""),"")</f>
        <v/>
      </c>
      <c r="F2" s="51" t="str">
        <f>IFERROR(__xludf.DUMMYFUNCTION("""COMPUTED_VALUE"""),"")</f>
        <v/>
      </c>
      <c r="G2" s="52">
        <f>IFERROR(__xludf.DUMMYFUNCTION("""COMPUTED_VALUE"""),-487.05999999999995)</f>
        <v>-487.06</v>
      </c>
      <c r="H2" s="53" t="str">
        <f t="shared" ref="H2:H510" si="1">IF(D2&lt;&gt;"",C2 &amp; "@" &amp; D2 &amp; "@" &amp; E2 &amp; "@" &amp; G2,"")</f>
        <v>iShares Treasury Bond 20+ UCITS@DIVIDEND@@-487.06</v>
      </c>
    </row>
    <row r="3">
      <c r="A3" s="47">
        <f>IFERROR(__xludf.DUMMYFUNCTION("""COMPUTED_VALUE"""),43642.0)</f>
        <v>43642</v>
      </c>
      <c r="B3" t="str">
        <f>IFERROR(__xludf.DUMMYFUNCTION("""COMPUTED_VALUE"""),"")</f>
        <v/>
      </c>
      <c r="C3" s="48" t="str">
        <f>IFERROR(__xludf.DUMMYFUNCTION("""COMPUTED_VALUE"""),"")</f>
        <v/>
      </c>
      <c r="D3" s="49" t="str">
        <f>IFERROR(__xludf.DUMMYFUNCTION("""COMPUTED_VALUE"""),"APPROVISIONNEMENT")</f>
        <v>APPROVISIONNEMENT</v>
      </c>
      <c r="E3" s="50" t="str">
        <f>IFERROR(__xludf.DUMMYFUNCTION("""COMPUTED_VALUE"""),"")</f>
        <v/>
      </c>
      <c r="F3" s="51" t="str">
        <f>IFERROR(__xludf.DUMMYFUNCTION("""COMPUTED_VALUE"""),"")</f>
        <v/>
      </c>
      <c r="G3" s="52">
        <f>IFERROR(__xludf.DUMMYFUNCTION("""COMPUTED_VALUE"""),2000.0)</f>
        <v>2000</v>
      </c>
      <c r="H3" s="53" t="str">
        <f t="shared" si="1"/>
        <v>@APPROVISIONNEMENT@@2000</v>
      </c>
    </row>
    <row r="4">
      <c r="A4" s="47">
        <f>IFERROR(__xludf.DUMMYFUNCTION("""COMPUTED_VALUE"""),43642.0)</f>
        <v>43642</v>
      </c>
      <c r="B4" t="str">
        <f>IFERROR(__xludf.DUMMYFUNCTION("""COMPUTED_VALUE"""),"Long term US bonds (20-25 year)")</f>
        <v>Long term US bonds (20-25 year)</v>
      </c>
      <c r="C4" s="48" t="str">
        <f>IFERROR(__xludf.DUMMYFUNCTION("""COMPUTED_VALUE"""),"iShares Treasury Bond 20+ UCITS")</f>
        <v>iShares Treasury Bond 20+ UCITS</v>
      </c>
      <c r="D4" s="49" t="str">
        <f>IFERROR(__xludf.DUMMYFUNCTION("""COMPUTED_VALUE"""),"DIVIDEND")</f>
        <v>DIVIDEND</v>
      </c>
      <c r="E4" s="50" t="str">
        <f>IFERROR(__xludf.DUMMYFUNCTION("""COMPUTED_VALUE"""),"")</f>
        <v/>
      </c>
      <c r="F4" s="51" t="str">
        <f>IFERROR(__xludf.DUMMYFUNCTION("""COMPUTED_VALUE"""),"")</f>
        <v/>
      </c>
      <c r="G4" s="52">
        <f>IFERROR(__xludf.DUMMYFUNCTION("""COMPUTED_VALUE"""),4012.65)</f>
        <v>4012.65</v>
      </c>
      <c r="H4" s="53" t="str">
        <f t="shared" si="1"/>
        <v>iShares Treasury Bond 20+ UCITS@DIVIDEND@@4012.65</v>
      </c>
    </row>
    <row r="5">
      <c r="A5" s="47">
        <f>IFERROR(__xludf.DUMMYFUNCTION("""COMPUTED_VALUE"""),43641.0)</f>
        <v>43641</v>
      </c>
      <c r="B5" t="str">
        <f>IFERROR(__xludf.DUMMYFUNCTION("""COMPUTED_VALUE"""),"Gold")</f>
        <v>Gold</v>
      </c>
      <c r="C5" s="48" t="str">
        <f>IFERROR(__xludf.DUMMYFUNCTION("""COMPUTED_VALUE"""),"ETFS Physical Gold")</f>
        <v>ETFS Physical Gold</v>
      </c>
      <c r="D5" s="49" t="str">
        <f>IFERROR(__xludf.DUMMYFUNCTION("""COMPUTED_VALUE"""),"SELL")</f>
        <v>SELL</v>
      </c>
      <c r="E5" s="50">
        <f>IFERROR(__xludf.DUMMYFUNCTION("""COMPUTED_VALUE"""),-9.0)</f>
        <v>-9</v>
      </c>
      <c r="F5" s="51">
        <f>IFERROR(__xludf.DUMMYFUNCTION("""COMPUTED_VALUE"""),119.82000000000001)</f>
        <v>119.82</v>
      </c>
      <c r="G5" s="52">
        <f>IFERROR(__xludf.DUMMYFUNCTION("""COMPUTED_VALUE"""),1078.38)</f>
        <v>1078.38</v>
      </c>
      <c r="H5" s="53" t="str">
        <f t="shared" si="1"/>
        <v>ETFS Physical Gold@SELL@-9@1078.38</v>
      </c>
    </row>
    <row r="6">
      <c r="A6" s="47">
        <f>IFERROR(__xludf.DUMMYFUNCTION("""COMPUTED_VALUE"""),43640.0)</f>
        <v>43640</v>
      </c>
      <c r="B6" t="str">
        <f>IFERROR(__xludf.DUMMYFUNCTION("""COMPUTED_VALUE"""),"Gold")</f>
        <v>Gold</v>
      </c>
      <c r="C6" s="48" t="str">
        <f>IFERROR(__xludf.DUMMYFUNCTION("""COMPUTED_VALUE"""),"ETFS Physical Gold")</f>
        <v>ETFS Physical Gold</v>
      </c>
      <c r="D6" s="49" t="str">
        <f>IFERROR(__xludf.DUMMYFUNCTION("""COMPUTED_VALUE"""),"SELL")</f>
        <v>SELL</v>
      </c>
      <c r="E6" s="50">
        <f>IFERROR(__xludf.DUMMYFUNCTION("""COMPUTED_VALUE"""),-9.0)</f>
        <v>-9</v>
      </c>
      <c r="F6" s="51">
        <f>IFERROR(__xludf.DUMMYFUNCTION("""COMPUTED_VALUE"""),117.66000000000001)</f>
        <v>117.66</v>
      </c>
      <c r="G6" s="52">
        <f>IFERROR(__xludf.DUMMYFUNCTION("""COMPUTED_VALUE"""),1058.94)</f>
        <v>1058.94</v>
      </c>
      <c r="H6" s="53" t="str">
        <f t="shared" si="1"/>
        <v>ETFS Physical Gold@SELL@-9@1058.94</v>
      </c>
    </row>
    <row r="7">
      <c r="A7" s="47">
        <f>IFERROR(__xludf.DUMMYFUNCTION("""COMPUTED_VALUE"""),43640.0)</f>
        <v>43640</v>
      </c>
      <c r="B7" t="str">
        <f>IFERROR(__xludf.DUMMYFUNCTION("""COMPUTED_VALUE"""),"Gold")</f>
        <v>Gold</v>
      </c>
      <c r="C7" s="48" t="str">
        <f>IFERROR(__xludf.DUMMYFUNCTION("""COMPUTED_VALUE"""),"ETFS Physical Gold")</f>
        <v>ETFS Physical Gold</v>
      </c>
      <c r="D7" s="49" t="str">
        <f>IFERROR(__xludf.DUMMYFUNCTION("""COMPUTED_VALUE"""),"SELL")</f>
        <v>SELL</v>
      </c>
      <c r="E7" s="50">
        <f>IFERROR(__xludf.DUMMYFUNCTION("""COMPUTED_VALUE"""),-16.0)</f>
        <v>-16</v>
      </c>
      <c r="F7" s="51">
        <f>IFERROR(__xludf.DUMMYFUNCTION("""COMPUTED_VALUE"""),117.66)</f>
        <v>117.66</v>
      </c>
      <c r="G7" s="52">
        <f>IFERROR(__xludf.DUMMYFUNCTION("""COMPUTED_VALUE"""),1882.56)</f>
        <v>1882.56</v>
      </c>
      <c r="H7" s="53" t="str">
        <f t="shared" si="1"/>
        <v>ETFS Physical Gold@SELL@-16@1882.56</v>
      </c>
    </row>
    <row r="8">
      <c r="A8" s="47">
        <f>IFERROR(__xludf.DUMMYFUNCTION("""COMPUTED_VALUE"""),43640.0)</f>
        <v>43640</v>
      </c>
      <c r="B8" t="str">
        <f>IFERROR(__xludf.DUMMYFUNCTION("""COMPUTED_VALUE"""),"Commodities")</f>
        <v>Commodities</v>
      </c>
      <c r="C8" s="48" t="str">
        <f>IFERROR(__xludf.DUMMYFUNCTION("""COMPUTED_VALUE"""),"ETFS All Commodities ETC")</f>
        <v>ETFS All Commodities ETC</v>
      </c>
      <c r="D8" s="49" t="str">
        <f>IFERROR(__xludf.DUMMYFUNCTION("""COMPUTED_VALUE"""),"BUY")</f>
        <v>BUY</v>
      </c>
      <c r="E8" s="50">
        <f>IFERROR(__xludf.DUMMYFUNCTION("""COMPUTED_VALUE"""),1013.0)</f>
        <v>1013</v>
      </c>
      <c r="F8" s="51">
        <f>IFERROR(__xludf.DUMMYFUNCTION("""COMPUTED_VALUE"""),7.103000987166832)</f>
        <v>7.103000987</v>
      </c>
      <c r="G8" s="52">
        <f>IFERROR(__xludf.DUMMYFUNCTION("""COMPUTED_VALUE"""),-7195.34)</f>
        <v>-7195.34</v>
      </c>
      <c r="H8" s="53" t="str">
        <f t="shared" si="1"/>
        <v>ETFS All Commodities ETC@BUY@1013@-7195.34</v>
      </c>
    </row>
    <row r="9">
      <c r="A9" s="47">
        <f>IFERROR(__xludf.DUMMYFUNCTION("""COMPUTED_VALUE"""),43627.0)</f>
        <v>43627</v>
      </c>
      <c r="B9" t="str">
        <f>IFERROR(__xludf.DUMMYFUNCTION("""COMPUTED_VALUE"""),"Commodities")</f>
        <v>Commodities</v>
      </c>
      <c r="C9" s="48" t="str">
        <f>IFERROR(__xludf.DUMMYFUNCTION("""COMPUTED_VALUE"""),"ETFS All Commodities ETC")</f>
        <v>ETFS All Commodities ETC</v>
      </c>
      <c r="D9" s="49" t="str">
        <f>IFERROR(__xludf.DUMMYFUNCTION("""COMPUTED_VALUE"""),"BUY")</f>
        <v>BUY</v>
      </c>
      <c r="E9" s="50">
        <f>IFERROR(__xludf.DUMMYFUNCTION("""COMPUTED_VALUE"""),1762.0)</f>
        <v>1762</v>
      </c>
      <c r="F9" s="51">
        <f>IFERROR(__xludf.DUMMYFUNCTION("""COMPUTED_VALUE"""),6.961997729852441)</f>
        <v>6.96199773</v>
      </c>
      <c r="G9" s="52">
        <f>IFERROR(__xludf.DUMMYFUNCTION("""COMPUTED_VALUE"""),-12267.04)</f>
        <v>-12267.04</v>
      </c>
      <c r="H9" s="53" t="str">
        <f t="shared" si="1"/>
        <v>ETFS All Commodities ETC@BUY@1762@-12267.04</v>
      </c>
    </row>
    <row r="10">
      <c r="A10" s="47">
        <f>IFERROR(__xludf.DUMMYFUNCTION("""COMPUTED_VALUE"""),43627.0)</f>
        <v>43627</v>
      </c>
      <c r="B10" t="str">
        <f>IFERROR(__xludf.DUMMYFUNCTION("""COMPUTED_VALUE"""),"Commodities")</f>
        <v>Commodities</v>
      </c>
      <c r="C10" s="48" t="str">
        <f>IFERROR(__xludf.DUMMYFUNCTION("""COMPUTED_VALUE"""),"ETFS All Commodities ETC")</f>
        <v>ETFS All Commodities ETC</v>
      </c>
      <c r="D10" s="49" t="str">
        <f>IFERROR(__xludf.DUMMYFUNCTION("""COMPUTED_VALUE"""),"BUY")</f>
        <v>BUY</v>
      </c>
      <c r="E10" s="50">
        <f>IFERROR(__xludf.DUMMYFUNCTION("""COMPUTED_VALUE"""),518.0)</f>
        <v>518</v>
      </c>
      <c r="F10" s="51">
        <f>IFERROR(__xludf.DUMMYFUNCTION("""COMPUTED_VALUE"""),6.962007722007722)</f>
        <v>6.962007722</v>
      </c>
      <c r="G10" s="52">
        <f>IFERROR(__xludf.DUMMYFUNCTION("""COMPUTED_VALUE"""),-3606.32)</f>
        <v>-3606.32</v>
      </c>
      <c r="H10" s="53" t="str">
        <f t="shared" si="1"/>
        <v>ETFS All Commodities ETC@BUY@518@-3606.32</v>
      </c>
    </row>
    <row r="11">
      <c r="A11" s="47">
        <f>IFERROR(__xludf.DUMMYFUNCTION("""COMPUTED_VALUE"""),43627.0)</f>
        <v>43627</v>
      </c>
      <c r="B11" t="str">
        <f>IFERROR(__xludf.DUMMYFUNCTION("""COMPUTED_VALUE"""),"Stocks")</f>
        <v>Stocks</v>
      </c>
      <c r="C11" s="48" t="str">
        <f>IFERROR(__xludf.DUMMYFUNCTION("""COMPUTED_VALUE"""),"Vanguard S&amp;P 500 UCITS")</f>
        <v>Vanguard S&amp;P 500 UCITS</v>
      </c>
      <c r="D11" s="49" t="str">
        <f>IFERROR(__xludf.DUMMYFUNCTION("""COMPUTED_VALUE"""),"SELL")</f>
        <v>SELL</v>
      </c>
      <c r="E11" s="50">
        <f>IFERROR(__xludf.DUMMYFUNCTION("""COMPUTED_VALUE"""),-26.0)</f>
        <v>-26</v>
      </c>
      <c r="F11" s="51">
        <f>IFERROR(__xludf.DUMMYFUNCTION("""COMPUTED_VALUE"""),48.65384615384615)</f>
        <v>48.65384615</v>
      </c>
      <c r="G11" s="52">
        <f>IFERROR(__xludf.DUMMYFUNCTION("""COMPUTED_VALUE"""),1265.0)</f>
        <v>1265</v>
      </c>
      <c r="H11" s="53" t="str">
        <f t="shared" si="1"/>
        <v>Vanguard S&amp;P 500 UCITS@SELL@-26@1265</v>
      </c>
    </row>
    <row r="12">
      <c r="A12" s="47">
        <f>IFERROR(__xludf.DUMMYFUNCTION("""COMPUTED_VALUE"""),43626.0)</f>
        <v>43626</v>
      </c>
      <c r="B12" t="str">
        <f>IFERROR(__xludf.DUMMYFUNCTION("""COMPUTED_VALUE"""),"Stocks")</f>
        <v>Stocks</v>
      </c>
      <c r="C12" s="48" t="str">
        <f>IFERROR(__xludf.DUMMYFUNCTION("""COMPUTED_VALUE"""),"Vanguard S&amp;P 500 UCITS")</f>
        <v>Vanguard S&amp;P 500 UCITS</v>
      </c>
      <c r="D12" s="49" t="str">
        <f>IFERROR(__xludf.DUMMYFUNCTION("""COMPUTED_VALUE"""),"SELL")</f>
        <v>SELL</v>
      </c>
      <c r="E12" s="50">
        <f>IFERROR(__xludf.DUMMYFUNCTION("""COMPUTED_VALUE"""),-29.0)</f>
        <v>-29</v>
      </c>
      <c r="F12" s="51">
        <f>IFERROR(__xludf.DUMMYFUNCTION("""COMPUTED_VALUE"""),48.56206896551724)</f>
        <v>48.56206897</v>
      </c>
      <c r="G12" s="52">
        <f>IFERROR(__xludf.DUMMYFUNCTION("""COMPUTED_VALUE"""),1408.3)</f>
        <v>1408.3</v>
      </c>
      <c r="H12" s="53" t="str">
        <f t="shared" si="1"/>
        <v>Vanguard S&amp;P 500 UCITS@SELL@-29@1408.3</v>
      </c>
    </row>
    <row r="13">
      <c r="A13" s="47">
        <f>IFERROR(__xludf.DUMMYFUNCTION("""COMPUTED_VALUE"""),43623.0)</f>
        <v>43623</v>
      </c>
      <c r="B13" t="str">
        <f>IFERROR(__xludf.DUMMYFUNCTION("""COMPUTED_VALUE"""),"Stocks")</f>
        <v>Stocks</v>
      </c>
      <c r="C13" s="48" t="str">
        <f>IFERROR(__xludf.DUMMYFUNCTION("""COMPUTED_VALUE"""),"Vanguard S&amp;P 500 UCITS")</f>
        <v>Vanguard S&amp;P 500 UCITS</v>
      </c>
      <c r="D13" s="49" t="str">
        <f>IFERROR(__xludf.DUMMYFUNCTION("""COMPUTED_VALUE"""),"SELL")</f>
        <v>SELL</v>
      </c>
      <c r="E13" s="50">
        <f>IFERROR(__xludf.DUMMYFUNCTION("""COMPUTED_VALUE"""),-23.0)</f>
        <v>-23</v>
      </c>
      <c r="F13" s="51">
        <f>IFERROR(__xludf.DUMMYFUNCTION("""COMPUTED_VALUE"""),48.35913043478261)</f>
        <v>48.35913043</v>
      </c>
      <c r="G13" s="52">
        <f>IFERROR(__xludf.DUMMYFUNCTION("""COMPUTED_VALUE"""),1112.26)</f>
        <v>1112.26</v>
      </c>
      <c r="H13" s="53" t="str">
        <f t="shared" si="1"/>
        <v>Vanguard S&amp;P 500 UCITS@SELL@-23@1112.26</v>
      </c>
    </row>
    <row r="14">
      <c r="A14" s="47">
        <f>IFERROR(__xludf.DUMMYFUNCTION("""COMPUTED_VALUE"""),43622.0)</f>
        <v>43622</v>
      </c>
      <c r="B14" t="str">
        <f>IFERROR(__xludf.DUMMYFUNCTION("""COMPUTED_VALUE"""),"Stocks")</f>
        <v>Stocks</v>
      </c>
      <c r="C14" s="48" t="str">
        <f>IFERROR(__xludf.DUMMYFUNCTION("""COMPUTED_VALUE"""),"Vanguard S&amp;P 500 UCITS")</f>
        <v>Vanguard S&amp;P 500 UCITS</v>
      </c>
      <c r="D14" s="49" t="str">
        <f>IFERROR(__xludf.DUMMYFUNCTION("""COMPUTED_VALUE"""),"SELL")</f>
        <v>SELL</v>
      </c>
      <c r="E14" s="50">
        <f>IFERROR(__xludf.DUMMYFUNCTION("""COMPUTED_VALUE"""),-58.0)</f>
        <v>-58</v>
      </c>
      <c r="F14" s="51">
        <f>IFERROR(__xludf.DUMMYFUNCTION("""COMPUTED_VALUE"""),48.019999999999996)</f>
        <v>48.02</v>
      </c>
      <c r="G14" s="52">
        <f>IFERROR(__xludf.DUMMYFUNCTION("""COMPUTED_VALUE"""),2785.16)</f>
        <v>2785.16</v>
      </c>
      <c r="H14" s="53" t="str">
        <f t="shared" si="1"/>
        <v>Vanguard S&amp;P 500 UCITS@SELL@-58@2785.16</v>
      </c>
    </row>
    <row r="15">
      <c r="A15" s="47">
        <f>IFERROR(__xludf.DUMMYFUNCTION("""COMPUTED_VALUE"""),43620.0)</f>
        <v>43620</v>
      </c>
      <c r="B15" t="str">
        <f>IFERROR(__xludf.DUMMYFUNCTION("""COMPUTED_VALUE"""),"")</f>
        <v/>
      </c>
      <c r="C15" s="48" t="str">
        <f>IFERROR(__xludf.DUMMYFUNCTION("""COMPUTED_VALUE"""),"")</f>
        <v/>
      </c>
      <c r="D15" s="49" t="str">
        <f>IFERROR(__xludf.DUMMYFUNCTION("""COMPUTED_VALUE"""),"APPROVISIONNEMENT")</f>
        <v>APPROVISIONNEMENT</v>
      </c>
      <c r="E15" s="50" t="str">
        <f>IFERROR(__xludf.DUMMYFUNCTION("""COMPUTED_VALUE"""),"")</f>
        <v/>
      </c>
      <c r="F15" s="51" t="str">
        <f>IFERROR(__xludf.DUMMYFUNCTION("""COMPUTED_VALUE"""),"")</f>
        <v/>
      </c>
      <c r="G15" s="52">
        <f>IFERROR(__xludf.DUMMYFUNCTION("""COMPUTED_VALUE"""),-100.0)</f>
        <v>-100</v>
      </c>
      <c r="H15" s="53" t="str">
        <f t="shared" si="1"/>
        <v>@APPROVISIONNEMENT@@-100</v>
      </c>
    </row>
    <row r="16">
      <c r="A16" s="47">
        <f>IFERROR(__xludf.DUMMYFUNCTION("""COMPUTED_VALUE"""),43616.0)</f>
        <v>43616</v>
      </c>
      <c r="B16" t="str">
        <f>IFERROR(__xludf.DUMMYFUNCTION("""COMPUTED_VALUE"""),"")</f>
        <v/>
      </c>
      <c r="C16" s="48" t="str">
        <f>IFERROR(__xludf.DUMMYFUNCTION("""COMPUTED_VALUE"""),"")</f>
        <v/>
      </c>
      <c r="D16" s="49" t="str">
        <f>IFERROR(__xludf.DUMMYFUNCTION("""COMPUTED_VALUE"""),"COST")</f>
        <v>COST</v>
      </c>
      <c r="E16" s="50" t="str">
        <f>IFERROR(__xludf.DUMMYFUNCTION("""COMPUTED_VALUE"""),"")</f>
        <v/>
      </c>
      <c r="F16" s="51" t="str">
        <f>IFERROR(__xludf.DUMMYFUNCTION("""COMPUTED_VALUE"""),"")</f>
        <v/>
      </c>
      <c r="G16" s="52">
        <f>IFERROR(__xludf.DUMMYFUNCTION("""COMPUTED_VALUE"""),-569.48)</f>
        <v>-569.48</v>
      </c>
      <c r="H16" s="53" t="str">
        <f t="shared" si="1"/>
        <v>@COST@@-569.48</v>
      </c>
    </row>
    <row r="17">
      <c r="A17" s="47">
        <f>IFERROR(__xludf.DUMMYFUNCTION("""COMPUTED_VALUE"""),43620.0)</f>
        <v>43620</v>
      </c>
      <c r="B17" t="str">
        <f>IFERROR(__xludf.DUMMYFUNCTION("""COMPUTED_VALUE"""),"Gold")</f>
        <v>Gold</v>
      </c>
      <c r="C17" s="48" t="str">
        <f>IFERROR(__xludf.DUMMYFUNCTION("""COMPUTED_VALUE"""),"ETFS Physical Gold")</f>
        <v>ETFS Physical Gold</v>
      </c>
      <c r="D17" s="49" t="str">
        <f>IFERROR(__xludf.DUMMYFUNCTION("""COMPUTED_VALUE"""),"SELL")</f>
        <v>SELL</v>
      </c>
      <c r="E17" s="50">
        <f>IFERROR(__xludf.DUMMYFUNCTION("""COMPUTED_VALUE"""),-9.0)</f>
        <v>-9</v>
      </c>
      <c r="F17" s="51">
        <f>IFERROR(__xludf.DUMMYFUNCTION("""COMPUTED_VALUE"""),112.4)</f>
        <v>112.4</v>
      </c>
      <c r="G17" s="52">
        <f>IFERROR(__xludf.DUMMYFUNCTION("""COMPUTED_VALUE"""),1011.6)</f>
        <v>1011.6</v>
      </c>
      <c r="H17" s="53" t="str">
        <f t="shared" si="1"/>
        <v>ETFS Physical Gold@SELL@-9@1011.6</v>
      </c>
    </row>
    <row r="18">
      <c r="A18" s="47">
        <f>IFERROR(__xludf.DUMMYFUNCTION("""COMPUTED_VALUE"""),43619.0)</f>
        <v>43619</v>
      </c>
      <c r="B18" t="str">
        <f>IFERROR(__xludf.DUMMYFUNCTION("""COMPUTED_VALUE"""),"Intermediate US bonds (7-10 year)")</f>
        <v>Intermediate US bonds (7-10 year)</v>
      </c>
      <c r="C18" s="48" t="str">
        <f>IFERROR(__xludf.DUMMYFUNCTION("""COMPUTED_VALUE"""),"iShares Treasury Bond 7-10 UCITS")</f>
        <v>iShares Treasury Bond 7-10 UCITS</v>
      </c>
      <c r="D18" s="49" t="str">
        <f>IFERROR(__xludf.DUMMYFUNCTION("""COMPUTED_VALUE"""),"DIVIDEND")</f>
        <v>DIVIDEND</v>
      </c>
      <c r="E18" s="50" t="str">
        <f>IFERROR(__xludf.DUMMYFUNCTION("""COMPUTED_VALUE"""),"")</f>
        <v/>
      </c>
      <c r="F18" s="51" t="str">
        <f>IFERROR(__xludf.DUMMYFUNCTION("""COMPUTED_VALUE"""),"")</f>
        <v/>
      </c>
      <c r="G18" s="52">
        <f>IFERROR(__xludf.DUMMYFUNCTION("""COMPUTED_VALUE"""),-173.19000000000005)</f>
        <v>-173.19</v>
      </c>
      <c r="H18" s="53" t="str">
        <f t="shared" si="1"/>
        <v>iShares Treasury Bond 7-10 UCITS@DIVIDEND@@-173.19</v>
      </c>
    </row>
    <row r="19">
      <c r="A19" s="47">
        <f>IFERROR(__xludf.DUMMYFUNCTION("""COMPUTED_VALUE"""),43619.0)</f>
        <v>43619</v>
      </c>
      <c r="B19" t="str">
        <f>IFERROR(__xludf.DUMMYFUNCTION("""COMPUTED_VALUE"""),"Long term US bonds (20-25 year)")</f>
        <v>Long term US bonds (20-25 year)</v>
      </c>
      <c r="C19" s="48" t="str">
        <f>IFERROR(__xludf.DUMMYFUNCTION("""COMPUTED_VALUE"""),"iShares Treasury Bond 20+ UCITS")</f>
        <v>iShares Treasury Bond 20+ UCITS</v>
      </c>
      <c r="D19" s="49" t="str">
        <f>IFERROR(__xludf.DUMMYFUNCTION("""COMPUTED_VALUE"""),"COST")</f>
        <v>COST</v>
      </c>
      <c r="E19" s="50" t="str">
        <f>IFERROR(__xludf.DUMMYFUNCTION("""COMPUTED_VALUE"""),"")</f>
        <v/>
      </c>
      <c r="F19" s="51" t="str">
        <f>IFERROR(__xludf.DUMMYFUNCTION("""COMPUTED_VALUE"""),"")</f>
        <v/>
      </c>
      <c r="G19" s="52">
        <f>IFERROR(__xludf.DUMMYFUNCTION("""COMPUTED_VALUE"""),-2.46)</f>
        <v>-2.46</v>
      </c>
      <c r="H19" s="53" t="str">
        <f t="shared" si="1"/>
        <v>iShares Treasury Bond 20+ UCITS@COST@@-2.46</v>
      </c>
    </row>
    <row r="20">
      <c r="A20" s="47">
        <f>IFERROR(__xludf.DUMMYFUNCTION("""COMPUTED_VALUE"""),43619.0)</f>
        <v>43619</v>
      </c>
      <c r="B20" t="str">
        <f>IFERROR(__xludf.DUMMYFUNCTION("""COMPUTED_VALUE"""),"Long term US bonds (20-25 year)")</f>
        <v>Long term US bonds (20-25 year)</v>
      </c>
      <c r="C20" s="48" t="str">
        <f>IFERROR(__xludf.DUMMYFUNCTION("""COMPUTED_VALUE"""),"iShares Treasury Bond 20+ UCITS")</f>
        <v>iShares Treasury Bond 20+ UCITS</v>
      </c>
      <c r="D20" s="49" t="str">
        <f>IFERROR(__xludf.DUMMYFUNCTION("""COMPUTED_VALUE"""),"SELL")</f>
        <v>SELL</v>
      </c>
      <c r="E20" s="50">
        <f>IFERROR(__xludf.DUMMYFUNCTION("""COMPUTED_VALUE"""),-512.0)</f>
        <v>-512</v>
      </c>
      <c r="F20" s="51">
        <f>IFERROR(__xludf.DUMMYFUNCTION("""COMPUTED_VALUE"""),4.4825)</f>
        <v>4.4825</v>
      </c>
      <c r="G20" s="52">
        <f>IFERROR(__xludf.DUMMYFUNCTION("""COMPUTED_VALUE"""),2295.04)</f>
        <v>2295.04</v>
      </c>
      <c r="H20" s="53" t="str">
        <f t="shared" si="1"/>
        <v>iShares Treasury Bond 20+ UCITS@SELL@-512@2295.04</v>
      </c>
    </row>
    <row r="21">
      <c r="A21" s="47">
        <f>IFERROR(__xludf.DUMMYFUNCTION("""COMPUTED_VALUE"""),43619.0)</f>
        <v>43619</v>
      </c>
      <c r="B21" t="str">
        <f>IFERROR(__xludf.DUMMYFUNCTION("""COMPUTED_VALUE"""),"Intermediate US bonds (7-10 year)")</f>
        <v>Intermediate US bonds (7-10 year)</v>
      </c>
      <c r="C21" s="48" t="str">
        <f>IFERROR(__xludf.DUMMYFUNCTION("""COMPUTED_VALUE"""),"iShares Treasury Bond 7-10 UCITS")</f>
        <v>iShares Treasury Bond 7-10 UCITS</v>
      </c>
      <c r="D21" s="49" t="str">
        <f>IFERROR(__xludf.DUMMYFUNCTION("""COMPUTED_VALUE"""),"SELL")</f>
        <v>SELL</v>
      </c>
      <c r="E21" s="50">
        <f>IFERROR(__xludf.DUMMYFUNCTION("""COMPUTED_VALUE"""),-7.0)</f>
        <v>-7</v>
      </c>
      <c r="F21" s="51">
        <f>IFERROR(__xludf.DUMMYFUNCTION("""COMPUTED_VALUE"""),179.42000000000002)</f>
        <v>179.42</v>
      </c>
      <c r="G21" s="52">
        <f>IFERROR(__xludf.DUMMYFUNCTION("""COMPUTED_VALUE"""),1255.94)</f>
        <v>1255.94</v>
      </c>
      <c r="H21" s="53" t="str">
        <f t="shared" si="1"/>
        <v>iShares Treasury Bond 7-10 UCITS@SELL@-7@1255.94</v>
      </c>
    </row>
    <row r="22">
      <c r="A22" s="47">
        <f>IFERROR(__xludf.DUMMYFUNCTION("""COMPUTED_VALUE"""),43619.0)</f>
        <v>43619</v>
      </c>
      <c r="B22" t="str">
        <f>IFERROR(__xludf.DUMMYFUNCTION("""COMPUTED_VALUE"""),"Gold")</f>
        <v>Gold</v>
      </c>
      <c r="C22" s="48" t="str">
        <f>IFERROR(__xludf.DUMMYFUNCTION("""COMPUTED_VALUE"""),"ETFS Physical Gold")</f>
        <v>ETFS Physical Gold</v>
      </c>
      <c r="D22" s="49" t="str">
        <f>IFERROR(__xludf.DUMMYFUNCTION("""COMPUTED_VALUE"""),"SELL")</f>
        <v>SELL</v>
      </c>
      <c r="E22" s="50">
        <f>IFERROR(__xludf.DUMMYFUNCTION("""COMPUTED_VALUE"""),-10.0)</f>
        <v>-10</v>
      </c>
      <c r="F22" s="51">
        <f>IFERROR(__xludf.DUMMYFUNCTION("""COMPUTED_VALUE"""),112.29)</f>
        <v>112.29</v>
      </c>
      <c r="G22" s="52">
        <f>IFERROR(__xludf.DUMMYFUNCTION("""COMPUTED_VALUE"""),1122.9)</f>
        <v>1122.9</v>
      </c>
      <c r="H22" s="53" t="str">
        <f t="shared" si="1"/>
        <v>ETFS Physical Gold@SELL@-10@1122.9</v>
      </c>
    </row>
    <row r="23">
      <c r="A23" s="47">
        <f>IFERROR(__xludf.DUMMYFUNCTION("""COMPUTED_VALUE"""),43619.0)</f>
        <v>43619</v>
      </c>
      <c r="B23" t="str">
        <f>IFERROR(__xludf.DUMMYFUNCTION("""COMPUTED_VALUE"""),"Long term US bonds (20-25 year)")</f>
        <v>Long term US bonds (20-25 year)</v>
      </c>
      <c r="C23" s="48" t="str">
        <f>IFERROR(__xludf.DUMMYFUNCTION("""COMPUTED_VALUE"""),"iShares Treasury Bond 20+ UCITS")</f>
        <v>iShares Treasury Bond 20+ UCITS</v>
      </c>
      <c r="D23" s="49" t="str">
        <f>IFERROR(__xludf.DUMMYFUNCTION("""COMPUTED_VALUE"""),"COST")</f>
        <v>COST</v>
      </c>
      <c r="E23" s="50" t="str">
        <f>IFERROR(__xludf.DUMMYFUNCTION("""COMPUTED_VALUE"""),"")</f>
        <v/>
      </c>
      <c r="F23" s="51" t="str">
        <f>IFERROR(__xludf.DUMMYFUNCTION("""COMPUTED_VALUE"""),"")</f>
        <v/>
      </c>
      <c r="G23" s="52">
        <f>IFERROR(__xludf.DUMMYFUNCTION("""COMPUTED_VALUE"""),-2.7800000000000002)</f>
        <v>-2.78</v>
      </c>
      <c r="H23" s="53" t="str">
        <f t="shared" si="1"/>
        <v>iShares Treasury Bond 20+ UCITS@COST@@-2.78</v>
      </c>
    </row>
    <row r="24">
      <c r="A24" s="47">
        <f>IFERROR(__xludf.DUMMYFUNCTION("""COMPUTED_VALUE"""),43619.0)</f>
        <v>43619</v>
      </c>
      <c r="B24" t="str">
        <f>IFERROR(__xludf.DUMMYFUNCTION("""COMPUTED_VALUE"""),"Long term US bonds (20-25 year)")</f>
        <v>Long term US bonds (20-25 year)</v>
      </c>
      <c r="C24" s="48" t="str">
        <f>IFERROR(__xludf.DUMMYFUNCTION("""COMPUTED_VALUE"""),"iShares Treasury Bond 20+ UCITS")</f>
        <v>iShares Treasury Bond 20+ UCITS</v>
      </c>
      <c r="D24" s="49" t="str">
        <f>IFERROR(__xludf.DUMMYFUNCTION("""COMPUTED_VALUE"""),"SELL")</f>
        <v>SELL</v>
      </c>
      <c r="E24" s="50">
        <f>IFERROR(__xludf.DUMMYFUNCTION("""COMPUTED_VALUE"""),-871.0)</f>
        <v>-871</v>
      </c>
      <c r="F24" s="51">
        <f>IFERROR(__xludf.DUMMYFUNCTION("""COMPUTED_VALUE"""),4.462502870264064)</f>
        <v>4.46250287</v>
      </c>
      <c r="G24" s="52">
        <f>IFERROR(__xludf.DUMMYFUNCTION("""COMPUTED_VALUE"""),3886.84)</f>
        <v>3886.84</v>
      </c>
      <c r="H24" s="53" t="str">
        <f t="shared" si="1"/>
        <v>iShares Treasury Bond 20+ UCITS@SELL@-871@3886.84</v>
      </c>
    </row>
    <row r="25">
      <c r="A25" s="47">
        <f>IFERROR(__xludf.DUMMYFUNCTION("""COMPUTED_VALUE"""),43616.0)</f>
        <v>43616</v>
      </c>
      <c r="B25" t="str">
        <f>IFERROR(__xludf.DUMMYFUNCTION("""COMPUTED_VALUE"""),"Intermediate US bonds (7-10 year)")</f>
        <v>Intermediate US bonds (7-10 year)</v>
      </c>
      <c r="C25" s="48" t="str">
        <f>IFERROR(__xludf.DUMMYFUNCTION("""COMPUTED_VALUE"""),"iShares Treasury Bond 7-10 UCITS")</f>
        <v>iShares Treasury Bond 7-10 UCITS</v>
      </c>
      <c r="D25" s="49" t="str">
        <f>IFERROR(__xludf.DUMMYFUNCTION("""COMPUTED_VALUE"""),"DIVIDEND")</f>
        <v>DIVIDEND</v>
      </c>
      <c r="E25" s="50" t="str">
        <f>IFERROR(__xludf.DUMMYFUNCTION("""COMPUTED_VALUE"""),"")</f>
        <v/>
      </c>
      <c r="F25" s="51" t="str">
        <f>IFERROR(__xludf.DUMMYFUNCTION("""COMPUTED_VALUE"""),"")</f>
        <v/>
      </c>
      <c r="G25" s="52">
        <f>IFERROR(__xludf.DUMMYFUNCTION("""COMPUTED_VALUE"""),1556.2)</f>
        <v>1556.2</v>
      </c>
      <c r="H25" s="53" t="str">
        <f t="shared" si="1"/>
        <v>iShares Treasury Bond 7-10 UCITS@DIVIDEND@@1556.2</v>
      </c>
    </row>
    <row r="26">
      <c r="A26" s="47">
        <f>IFERROR(__xludf.DUMMYFUNCTION("""COMPUTED_VALUE"""),43616.0)</f>
        <v>43616</v>
      </c>
      <c r="B26" t="str">
        <f>IFERROR(__xludf.DUMMYFUNCTION("""COMPUTED_VALUE"""),"Long term US bonds (20-25 year)")</f>
        <v>Long term US bonds (20-25 year)</v>
      </c>
      <c r="C26" s="48" t="str">
        <f>IFERROR(__xludf.DUMMYFUNCTION("""COMPUTED_VALUE"""),"iShares Treasury Bond 20+ UCITS")</f>
        <v>iShares Treasury Bond 20+ UCITS</v>
      </c>
      <c r="D26" s="49" t="str">
        <f>IFERROR(__xludf.DUMMYFUNCTION("""COMPUTED_VALUE"""),"COST")</f>
        <v>COST</v>
      </c>
      <c r="E26" s="50" t="str">
        <f>IFERROR(__xludf.DUMMYFUNCTION("""COMPUTED_VALUE"""),"")</f>
        <v/>
      </c>
      <c r="F26" s="51" t="str">
        <f>IFERROR(__xludf.DUMMYFUNCTION("""COMPUTED_VALUE"""),"")</f>
        <v/>
      </c>
      <c r="G26" s="52">
        <f>IFERROR(__xludf.DUMMYFUNCTION("""COMPUTED_VALUE"""),-2.26)</f>
        <v>-2.26</v>
      </c>
      <c r="H26" s="53" t="str">
        <f t="shared" si="1"/>
        <v>iShares Treasury Bond 20+ UCITS@COST@@-2.26</v>
      </c>
    </row>
    <row r="27">
      <c r="A27" s="47">
        <f>IFERROR(__xludf.DUMMYFUNCTION("""COMPUTED_VALUE"""),43616.0)</f>
        <v>43616</v>
      </c>
      <c r="B27" t="str">
        <f>IFERROR(__xludf.DUMMYFUNCTION("""COMPUTED_VALUE"""),"Long term US bonds (20-25 year)")</f>
        <v>Long term US bonds (20-25 year)</v>
      </c>
      <c r="C27" s="48" t="str">
        <f>IFERROR(__xludf.DUMMYFUNCTION("""COMPUTED_VALUE"""),"iShares Treasury Bond 20+ UCITS")</f>
        <v>iShares Treasury Bond 20+ UCITS</v>
      </c>
      <c r="D27" s="49" t="str">
        <f>IFERROR(__xludf.DUMMYFUNCTION("""COMPUTED_VALUE"""),"SELL")</f>
        <v>SELL</v>
      </c>
      <c r="E27" s="50">
        <f>IFERROR(__xludf.DUMMYFUNCTION("""COMPUTED_VALUE"""),-298.0)</f>
        <v>-298</v>
      </c>
      <c r="F27" s="51">
        <f>IFERROR(__xludf.DUMMYFUNCTION("""COMPUTED_VALUE"""),4.4304026845637585)</f>
        <v>4.430402685</v>
      </c>
      <c r="G27" s="52">
        <f>IFERROR(__xludf.DUMMYFUNCTION("""COMPUTED_VALUE"""),1320.26)</f>
        <v>1320.26</v>
      </c>
      <c r="H27" s="53" t="str">
        <f t="shared" si="1"/>
        <v>iShares Treasury Bond 20+ UCITS@SELL@-298@1320.26</v>
      </c>
    </row>
    <row r="28">
      <c r="A28" s="47">
        <f>IFERROR(__xludf.DUMMYFUNCTION("""COMPUTED_VALUE"""),43616.0)</f>
        <v>43616</v>
      </c>
      <c r="B28" t="str">
        <f>IFERROR(__xludf.DUMMYFUNCTION("""COMPUTED_VALUE"""),"Intermediate US bonds (7-10 year)")</f>
        <v>Intermediate US bonds (7-10 year)</v>
      </c>
      <c r="C28" s="48" t="str">
        <f>IFERROR(__xludf.DUMMYFUNCTION("""COMPUTED_VALUE"""),"iShares Treasury Bond 7-10 UCITS")</f>
        <v>iShares Treasury Bond 7-10 UCITS</v>
      </c>
      <c r="D28" s="49" t="str">
        <f>IFERROR(__xludf.DUMMYFUNCTION("""COMPUTED_VALUE"""),"SELL")</f>
        <v>SELL</v>
      </c>
      <c r="E28" s="50">
        <f>IFERROR(__xludf.DUMMYFUNCTION("""COMPUTED_VALUE"""),-6.0)</f>
        <v>-6</v>
      </c>
      <c r="F28" s="51">
        <f>IFERROR(__xludf.DUMMYFUNCTION("""COMPUTED_VALUE"""),178.29999999999998)</f>
        <v>178.3</v>
      </c>
      <c r="G28" s="52">
        <f>IFERROR(__xludf.DUMMYFUNCTION("""COMPUTED_VALUE"""),1069.8)</f>
        <v>1069.8</v>
      </c>
      <c r="H28" s="53" t="str">
        <f t="shared" si="1"/>
        <v>iShares Treasury Bond 7-10 UCITS@SELL@-6@1069.8</v>
      </c>
    </row>
    <row r="29">
      <c r="A29" s="47">
        <f>IFERROR(__xludf.DUMMYFUNCTION("""COMPUTED_VALUE"""),43616.0)</f>
        <v>43616</v>
      </c>
      <c r="B29" t="str">
        <f>IFERROR(__xludf.DUMMYFUNCTION("""COMPUTED_VALUE"""),"Gold")</f>
        <v>Gold</v>
      </c>
      <c r="C29" s="48" t="str">
        <f>IFERROR(__xludf.DUMMYFUNCTION("""COMPUTED_VALUE"""),"ETFS Physical Gold")</f>
        <v>ETFS Physical Gold</v>
      </c>
      <c r="D29" s="49" t="str">
        <f>IFERROR(__xludf.DUMMYFUNCTION("""COMPUTED_VALUE"""),"SELL")</f>
        <v>SELL</v>
      </c>
      <c r="E29" s="50">
        <f>IFERROR(__xludf.DUMMYFUNCTION("""COMPUTED_VALUE"""),-10.0)</f>
        <v>-10</v>
      </c>
      <c r="F29" s="51">
        <f>IFERROR(__xludf.DUMMYFUNCTION("""COMPUTED_VALUE"""),110.96)</f>
        <v>110.96</v>
      </c>
      <c r="G29" s="52">
        <f>IFERROR(__xludf.DUMMYFUNCTION("""COMPUTED_VALUE"""),1109.6)</f>
        <v>1109.6</v>
      </c>
      <c r="H29" s="53" t="str">
        <f t="shared" si="1"/>
        <v>ETFS Physical Gold@SELL@-10@1109.6</v>
      </c>
    </row>
    <row r="30">
      <c r="A30" s="47">
        <f>IFERROR(__xludf.DUMMYFUNCTION("""COMPUTED_VALUE"""),43616.0)</f>
        <v>43616</v>
      </c>
      <c r="B30" t="str">
        <f>IFERROR(__xludf.DUMMYFUNCTION("""COMPUTED_VALUE"""),"Intermediate US bonds (7-10 year)")</f>
        <v>Intermediate US bonds (7-10 year)</v>
      </c>
      <c r="C30" s="48" t="str">
        <f>IFERROR(__xludf.DUMMYFUNCTION("""COMPUTED_VALUE"""),"iShares Treasury Bond 7-10 UCITS")</f>
        <v>iShares Treasury Bond 7-10 UCITS</v>
      </c>
      <c r="D30" s="49" t="str">
        <f>IFERROR(__xludf.DUMMYFUNCTION("""COMPUTED_VALUE"""),"SELL")</f>
        <v>SELL</v>
      </c>
      <c r="E30" s="50">
        <f>IFERROR(__xludf.DUMMYFUNCTION("""COMPUTED_VALUE"""),-6.0)</f>
        <v>-6</v>
      </c>
      <c r="F30" s="51">
        <f>IFERROR(__xludf.DUMMYFUNCTION("""COMPUTED_VALUE"""),178.73000000000002)</f>
        <v>178.73</v>
      </c>
      <c r="G30" s="52">
        <f>IFERROR(__xludf.DUMMYFUNCTION("""COMPUTED_VALUE"""),1072.38)</f>
        <v>1072.38</v>
      </c>
      <c r="H30" s="53" t="str">
        <f t="shared" si="1"/>
        <v>iShares Treasury Bond 7-10 UCITS@SELL@-6@1072.38</v>
      </c>
    </row>
    <row r="31">
      <c r="A31" s="47">
        <f>IFERROR(__xludf.DUMMYFUNCTION("""COMPUTED_VALUE"""),43616.0)</f>
        <v>43616</v>
      </c>
      <c r="B31" t="str">
        <f>IFERROR(__xludf.DUMMYFUNCTION("""COMPUTED_VALUE"""),"Long term US bonds (20-25 year)")</f>
        <v>Long term US bonds (20-25 year)</v>
      </c>
      <c r="C31" s="48" t="str">
        <f>IFERROR(__xludf.DUMMYFUNCTION("""COMPUTED_VALUE"""),"iShares Treasury Bond 20+ UCITS")</f>
        <v>iShares Treasury Bond 20+ UCITS</v>
      </c>
      <c r="D31" s="49" t="str">
        <f>IFERROR(__xludf.DUMMYFUNCTION("""COMPUTED_VALUE"""),"COST")</f>
        <v>COST</v>
      </c>
      <c r="E31" s="50" t="str">
        <f>IFERROR(__xludf.DUMMYFUNCTION("""COMPUTED_VALUE"""),"")</f>
        <v/>
      </c>
      <c r="F31" s="51" t="str">
        <f>IFERROR(__xludf.DUMMYFUNCTION("""COMPUTED_VALUE"""),"")</f>
        <v/>
      </c>
      <c r="G31" s="52">
        <f>IFERROR(__xludf.DUMMYFUNCTION("""COMPUTED_VALUE"""),-3.0)</f>
        <v>-3</v>
      </c>
      <c r="H31" s="53" t="str">
        <f t="shared" si="1"/>
        <v>iShares Treasury Bond 20+ UCITS@COST@@-3</v>
      </c>
    </row>
    <row r="32">
      <c r="A32" s="47">
        <f>IFERROR(__xludf.DUMMYFUNCTION("""COMPUTED_VALUE"""),43616.0)</f>
        <v>43616</v>
      </c>
      <c r="B32" t="str">
        <f>IFERROR(__xludf.DUMMYFUNCTION("""COMPUTED_VALUE"""),"Long term US bonds (20-25 year)")</f>
        <v>Long term US bonds (20-25 year)</v>
      </c>
      <c r="C32" s="48" t="str">
        <f>IFERROR(__xludf.DUMMYFUNCTION("""COMPUTED_VALUE"""),"iShares Treasury Bond 20+ UCITS")</f>
        <v>iShares Treasury Bond 20+ UCITS</v>
      </c>
      <c r="D32" s="49" t="str">
        <f>IFERROR(__xludf.DUMMYFUNCTION("""COMPUTED_VALUE"""),"SELL")</f>
        <v>SELL</v>
      </c>
      <c r="E32" s="50">
        <f>IFERROR(__xludf.DUMMYFUNCTION("""COMPUTED_VALUE"""),-1131.0)</f>
        <v>-1131</v>
      </c>
      <c r="F32" s="51">
        <f>IFERROR(__xludf.DUMMYFUNCTION("""COMPUTED_VALUE"""),4.436896551724138)</f>
        <v>4.436896552</v>
      </c>
      <c r="G32" s="52">
        <f>IFERROR(__xludf.DUMMYFUNCTION("""COMPUTED_VALUE"""),5018.13)</f>
        <v>5018.13</v>
      </c>
      <c r="H32" s="53" t="str">
        <f t="shared" si="1"/>
        <v>iShares Treasury Bond 20+ UCITS@SELL@-1131@5018.13</v>
      </c>
    </row>
    <row r="33">
      <c r="A33" s="47">
        <f>IFERROR(__xludf.DUMMYFUNCTION("""COMPUTED_VALUE"""),43614.0)</f>
        <v>43614</v>
      </c>
      <c r="B33" t="str">
        <f>IFERROR(__xludf.DUMMYFUNCTION("""COMPUTED_VALUE"""),"Long term US bonds (20-25 year)")</f>
        <v>Long term US bonds (20-25 year)</v>
      </c>
      <c r="C33" s="48" t="str">
        <f>IFERROR(__xludf.DUMMYFUNCTION("""COMPUTED_VALUE"""),"iShares Treasury Bond 20+ UCITS")</f>
        <v>iShares Treasury Bond 20+ UCITS</v>
      </c>
      <c r="D33" s="49" t="str">
        <f>IFERROR(__xludf.DUMMYFUNCTION("""COMPUTED_VALUE"""),"COST")</f>
        <v>COST</v>
      </c>
      <c r="E33" s="50" t="str">
        <f>IFERROR(__xludf.DUMMYFUNCTION("""COMPUTED_VALUE"""),"")</f>
        <v/>
      </c>
      <c r="F33" s="51" t="str">
        <f>IFERROR(__xludf.DUMMYFUNCTION("""COMPUTED_VALUE"""),"")</f>
        <v/>
      </c>
      <c r="G33" s="52">
        <f>IFERROR(__xludf.DUMMYFUNCTION("""COMPUTED_VALUE"""),-2.89)</f>
        <v>-2.89</v>
      </c>
      <c r="H33" s="53" t="str">
        <f t="shared" si="1"/>
        <v>iShares Treasury Bond 20+ UCITS@COST@@-2.89</v>
      </c>
    </row>
    <row r="34">
      <c r="A34" s="47">
        <f>IFERROR(__xludf.DUMMYFUNCTION("""COMPUTED_VALUE"""),43614.0)</f>
        <v>43614</v>
      </c>
      <c r="B34" t="str">
        <f>IFERROR(__xludf.DUMMYFUNCTION("""COMPUTED_VALUE"""),"Long term US bonds (20-25 year)")</f>
        <v>Long term US bonds (20-25 year)</v>
      </c>
      <c r="C34" s="48" t="str">
        <f>IFERROR(__xludf.DUMMYFUNCTION("""COMPUTED_VALUE"""),"iShares Treasury Bond 20+ UCITS")</f>
        <v>iShares Treasury Bond 20+ UCITS</v>
      </c>
      <c r="D34" s="49" t="str">
        <f>IFERROR(__xludf.DUMMYFUNCTION("""COMPUTED_VALUE"""),"SELL")</f>
        <v>SELL</v>
      </c>
      <c r="E34" s="50">
        <f>IFERROR(__xludf.DUMMYFUNCTION("""COMPUTED_VALUE"""),-1016.0)</f>
        <v>-1016</v>
      </c>
      <c r="F34" s="51">
        <f>IFERROR(__xludf.DUMMYFUNCTION("""COMPUTED_VALUE"""),4.376299212598425)</f>
        <v>4.376299213</v>
      </c>
      <c r="G34" s="52">
        <f>IFERROR(__xludf.DUMMYFUNCTION("""COMPUTED_VALUE"""),4446.32)</f>
        <v>4446.32</v>
      </c>
      <c r="H34" s="53" t="str">
        <f t="shared" si="1"/>
        <v>iShares Treasury Bond 20+ UCITS@SELL@-1016@4446.32</v>
      </c>
    </row>
    <row r="35">
      <c r="A35" s="47">
        <f>IFERROR(__xludf.DUMMYFUNCTION("""COMPUTED_VALUE"""),43613.0)</f>
        <v>43613</v>
      </c>
      <c r="B35" t="str">
        <f>IFERROR(__xludf.DUMMYFUNCTION("""COMPUTED_VALUE"""),"Long term US bonds (20-25 year)")</f>
        <v>Long term US bonds (20-25 year)</v>
      </c>
      <c r="C35" s="48" t="str">
        <f>IFERROR(__xludf.DUMMYFUNCTION("""COMPUTED_VALUE"""),"iShares Treasury Bond 20+ UCITS")</f>
        <v>iShares Treasury Bond 20+ UCITS</v>
      </c>
      <c r="D35" s="49" t="str">
        <f>IFERROR(__xludf.DUMMYFUNCTION("""COMPUTED_VALUE"""),"COST")</f>
        <v>COST</v>
      </c>
      <c r="E35" s="50" t="str">
        <f>IFERROR(__xludf.DUMMYFUNCTION("""COMPUTED_VALUE"""),"")</f>
        <v/>
      </c>
      <c r="F35" s="51" t="str">
        <f>IFERROR(__xludf.DUMMYFUNCTION("""COMPUTED_VALUE"""),"")</f>
        <v/>
      </c>
      <c r="G35" s="52">
        <f>IFERROR(__xludf.DUMMYFUNCTION("""COMPUTED_VALUE"""),-2.22)</f>
        <v>-2.22</v>
      </c>
      <c r="H35" s="53" t="str">
        <f t="shared" si="1"/>
        <v>iShares Treasury Bond 20+ UCITS@COST@@-2.22</v>
      </c>
    </row>
    <row r="36">
      <c r="A36" s="47">
        <f>IFERROR(__xludf.DUMMYFUNCTION("""COMPUTED_VALUE"""),43613.0)</f>
        <v>43613</v>
      </c>
      <c r="B36" t="str">
        <f>IFERROR(__xludf.DUMMYFUNCTION("""COMPUTED_VALUE"""),"Long term US bonds (20-25 year)")</f>
        <v>Long term US bonds (20-25 year)</v>
      </c>
      <c r="C36" s="48" t="str">
        <f>IFERROR(__xludf.DUMMYFUNCTION("""COMPUTED_VALUE"""),"iShares Treasury Bond 20+ UCITS")</f>
        <v>iShares Treasury Bond 20+ UCITS</v>
      </c>
      <c r="D36" s="49" t="str">
        <f>IFERROR(__xludf.DUMMYFUNCTION("""COMPUTED_VALUE"""),"SELL")</f>
        <v>SELL</v>
      </c>
      <c r="E36" s="50">
        <f>IFERROR(__xludf.DUMMYFUNCTION("""COMPUTED_VALUE"""),-258.0)</f>
        <v>-258</v>
      </c>
      <c r="F36" s="51">
        <f>IFERROR(__xludf.DUMMYFUNCTION("""COMPUTED_VALUE"""),4.334883720930233)</f>
        <v>4.334883721</v>
      </c>
      <c r="G36" s="52">
        <f>IFERROR(__xludf.DUMMYFUNCTION("""COMPUTED_VALUE"""),1118.4)</f>
        <v>1118.4</v>
      </c>
      <c r="H36" s="53" t="str">
        <f t="shared" si="1"/>
        <v>iShares Treasury Bond 20+ UCITS@SELL@-258@1118.4</v>
      </c>
    </row>
    <row r="37">
      <c r="A37" s="47">
        <f>IFERROR(__xludf.DUMMYFUNCTION("""COMPUTED_VALUE"""),43609.0)</f>
        <v>43609</v>
      </c>
      <c r="B37" t="str">
        <f>IFERROR(__xludf.DUMMYFUNCTION("""COMPUTED_VALUE"""),"Long term US bonds (20-25 year)")</f>
        <v>Long term US bonds (20-25 year)</v>
      </c>
      <c r="C37" s="48" t="str">
        <f>IFERROR(__xludf.DUMMYFUNCTION("""COMPUTED_VALUE"""),"iShares Treasury Bond 20+ UCITS")</f>
        <v>iShares Treasury Bond 20+ UCITS</v>
      </c>
      <c r="D37" s="49" t="str">
        <f>IFERROR(__xludf.DUMMYFUNCTION("""COMPUTED_VALUE"""),"COST")</f>
        <v>COST</v>
      </c>
      <c r="E37" s="50" t="str">
        <f>IFERROR(__xludf.DUMMYFUNCTION("""COMPUTED_VALUE"""),"")</f>
        <v/>
      </c>
      <c r="F37" s="51" t="str">
        <f>IFERROR(__xludf.DUMMYFUNCTION("""COMPUTED_VALUE"""),"")</f>
        <v/>
      </c>
      <c r="G37" s="52">
        <f>IFERROR(__xludf.DUMMYFUNCTION("""COMPUTED_VALUE"""),-2.21)</f>
        <v>-2.21</v>
      </c>
      <c r="H37" s="53" t="str">
        <f t="shared" si="1"/>
        <v>iShares Treasury Bond 20+ UCITS@COST@@-2.21</v>
      </c>
    </row>
    <row r="38">
      <c r="A38" s="47">
        <f>IFERROR(__xludf.DUMMYFUNCTION("""COMPUTED_VALUE"""),43609.0)</f>
        <v>43609</v>
      </c>
      <c r="B38" t="str">
        <f>IFERROR(__xludf.DUMMYFUNCTION("""COMPUTED_VALUE"""),"Long term US bonds (20-25 year)")</f>
        <v>Long term US bonds (20-25 year)</v>
      </c>
      <c r="C38" s="48" t="str">
        <f>IFERROR(__xludf.DUMMYFUNCTION("""COMPUTED_VALUE"""),"iShares Treasury Bond 20+ UCITS")</f>
        <v>iShares Treasury Bond 20+ UCITS</v>
      </c>
      <c r="D38" s="49" t="str">
        <f>IFERROR(__xludf.DUMMYFUNCTION("""COMPUTED_VALUE"""),"SELL")</f>
        <v>SELL</v>
      </c>
      <c r="E38" s="50">
        <f>IFERROR(__xludf.DUMMYFUNCTION("""COMPUTED_VALUE"""),-249.0)</f>
        <v>-249</v>
      </c>
      <c r="F38" s="51">
        <f>IFERROR(__xludf.DUMMYFUNCTION("""COMPUTED_VALUE"""),4.295301204819277)</f>
        <v>4.295301205</v>
      </c>
      <c r="G38" s="52">
        <f>IFERROR(__xludf.DUMMYFUNCTION("""COMPUTED_VALUE"""),1069.53)</f>
        <v>1069.53</v>
      </c>
      <c r="H38" s="53" t="str">
        <f t="shared" si="1"/>
        <v>iShares Treasury Bond 20+ UCITS@SELL@-249@1069.53</v>
      </c>
    </row>
    <row r="39">
      <c r="A39" s="47">
        <f>IFERROR(__xludf.DUMMYFUNCTION("""COMPUTED_VALUE"""),43608.0)</f>
        <v>43608</v>
      </c>
      <c r="B39" t="str">
        <f>IFERROR(__xludf.DUMMYFUNCTION("""COMPUTED_VALUE"""),"Long term US bonds (20-25 year)")</f>
        <v>Long term US bonds (20-25 year)</v>
      </c>
      <c r="C39" s="48" t="str">
        <f>IFERROR(__xludf.DUMMYFUNCTION("""COMPUTED_VALUE"""),"iShares Treasury Bond 20+ UCITS")</f>
        <v>iShares Treasury Bond 20+ UCITS</v>
      </c>
      <c r="D39" s="49" t="str">
        <f>IFERROR(__xludf.DUMMYFUNCTION("""COMPUTED_VALUE"""),"COST")</f>
        <v>COST</v>
      </c>
      <c r="E39" s="50" t="str">
        <f>IFERROR(__xludf.DUMMYFUNCTION("""COMPUTED_VALUE"""),"")</f>
        <v/>
      </c>
      <c r="F39" s="51" t="str">
        <f>IFERROR(__xludf.DUMMYFUNCTION("""COMPUTED_VALUE"""),"")</f>
        <v/>
      </c>
      <c r="G39" s="52">
        <f>IFERROR(__xludf.DUMMYFUNCTION("""COMPUTED_VALUE"""),-2.24)</f>
        <v>-2.24</v>
      </c>
      <c r="H39" s="53" t="str">
        <f t="shared" si="1"/>
        <v>iShares Treasury Bond 20+ UCITS@COST@@-2.24</v>
      </c>
    </row>
    <row r="40">
      <c r="A40" s="47" t="str">
        <f>IFERROR(__xludf.DUMMYFUNCTION("""COMPUTED_VALUE"""),"")</f>
        <v/>
      </c>
      <c r="B40" t="str">
        <f>IFERROR(__xludf.DUMMYFUNCTION("""COMPUTED_VALUE"""),"")</f>
        <v/>
      </c>
      <c r="C40" s="48" t="str">
        <f>IFERROR(__xludf.DUMMYFUNCTION("""COMPUTED_VALUE"""),"")</f>
        <v/>
      </c>
      <c r="D40" s="49" t="str">
        <f>IFERROR(__xludf.DUMMYFUNCTION("""COMPUTED_VALUE"""),"")</f>
        <v/>
      </c>
      <c r="E40" s="50" t="str">
        <f>IFERROR(__xludf.DUMMYFUNCTION("""COMPUTED_VALUE"""),"")</f>
        <v/>
      </c>
      <c r="F40" s="51" t="str">
        <f>IFERROR(__xludf.DUMMYFUNCTION("""COMPUTED_VALUE"""),"")</f>
        <v/>
      </c>
      <c r="G40" s="52" t="str">
        <f>IFERROR(__xludf.DUMMYFUNCTION("""COMPUTED_VALUE"""),"")</f>
        <v/>
      </c>
      <c r="H40" s="53" t="str">
        <f t="shared" si="1"/>
        <v/>
      </c>
    </row>
    <row r="41">
      <c r="A41" s="47">
        <f>IFERROR(__xludf.DUMMYFUNCTION("""COMPUTED_VALUE"""),43608.0)</f>
        <v>43608</v>
      </c>
      <c r="B41" t="str">
        <f>IFERROR(__xludf.DUMMYFUNCTION("""COMPUTED_VALUE"""),"Long term US bonds (20-25 year)")</f>
        <v>Long term US bonds (20-25 year)</v>
      </c>
      <c r="C41" s="48" t="str">
        <f>IFERROR(__xludf.DUMMYFUNCTION("""COMPUTED_VALUE"""),"iShares Treasury Bond 20+ UCITS")</f>
        <v>iShares Treasury Bond 20+ UCITS</v>
      </c>
      <c r="D41" s="49" t="str">
        <f>IFERROR(__xludf.DUMMYFUNCTION("""COMPUTED_VALUE"""),"SELL")</f>
        <v>SELL</v>
      </c>
      <c r="E41" s="50">
        <f>IFERROR(__xludf.DUMMYFUNCTION("""COMPUTED_VALUE"""),-277.0)</f>
        <v>-277</v>
      </c>
      <c r="F41" s="51">
        <f>IFERROR(__xludf.DUMMYFUNCTION("""COMPUTED_VALUE"""),4.306714801444043)</f>
        <v>4.306714801</v>
      </c>
      <c r="G41" s="52">
        <f>IFERROR(__xludf.DUMMYFUNCTION("""COMPUTED_VALUE"""),1192.96)</f>
        <v>1192.96</v>
      </c>
      <c r="H41" s="53" t="str">
        <f t="shared" si="1"/>
        <v>iShares Treasury Bond 20+ UCITS@SELL@-277@1192.96</v>
      </c>
    </row>
    <row r="42">
      <c r="A42" s="47">
        <f>IFERROR(__xludf.DUMMYFUNCTION("""COMPUTED_VALUE"""),43608.0)</f>
        <v>43608</v>
      </c>
      <c r="B42" t="str">
        <f>IFERROR(__xludf.DUMMYFUNCTION("""COMPUTED_VALUE"""),"Long term US bonds (20-25 year)")</f>
        <v>Long term US bonds (20-25 year)</v>
      </c>
      <c r="C42" s="48" t="str">
        <f>IFERROR(__xludf.DUMMYFUNCTION("""COMPUTED_VALUE"""),"iShares Treasury Bond 20+ UCITS")</f>
        <v>iShares Treasury Bond 20+ UCITS</v>
      </c>
      <c r="D42" s="49" t="str">
        <f>IFERROR(__xludf.DUMMYFUNCTION("""COMPUTED_VALUE"""),"COST")</f>
        <v>COST</v>
      </c>
      <c r="E42" s="50" t="str">
        <f>IFERROR(__xludf.DUMMYFUNCTION("""COMPUTED_VALUE"""),"")</f>
        <v/>
      </c>
      <c r="F42" s="51" t="str">
        <f>IFERROR(__xludf.DUMMYFUNCTION("""COMPUTED_VALUE"""),"")</f>
        <v/>
      </c>
      <c r="G42" s="52">
        <f>IFERROR(__xludf.DUMMYFUNCTION("""COMPUTED_VALUE"""),-2.25)</f>
        <v>-2.25</v>
      </c>
      <c r="H42" s="53" t="str">
        <f t="shared" si="1"/>
        <v>iShares Treasury Bond 20+ UCITS@COST@@-2.25</v>
      </c>
    </row>
    <row r="43">
      <c r="A43" s="47">
        <f>IFERROR(__xludf.DUMMYFUNCTION("""COMPUTED_VALUE"""),43608.0)</f>
        <v>43608</v>
      </c>
      <c r="B43" t="str">
        <f>IFERROR(__xludf.DUMMYFUNCTION("""COMPUTED_VALUE"""),"Long term US bonds (20-25 year)")</f>
        <v>Long term US bonds (20-25 year)</v>
      </c>
      <c r="C43" s="48" t="str">
        <f>IFERROR(__xludf.DUMMYFUNCTION("""COMPUTED_VALUE"""),"iShares Treasury Bond 20+ UCITS")</f>
        <v>iShares Treasury Bond 20+ UCITS</v>
      </c>
      <c r="D43" s="49" t="str">
        <f>IFERROR(__xludf.DUMMYFUNCTION("""COMPUTED_VALUE"""),"SELL")</f>
        <v>SELL</v>
      </c>
      <c r="E43" s="50">
        <f>IFERROR(__xludf.DUMMYFUNCTION("""COMPUTED_VALUE"""),-292.0)</f>
        <v>-292</v>
      </c>
      <c r="F43" s="51">
        <f>IFERROR(__xludf.DUMMYFUNCTION("""COMPUTED_VALUE"""),4.293801369863013)</f>
        <v>4.29380137</v>
      </c>
      <c r="G43" s="52">
        <f>IFERROR(__xludf.DUMMYFUNCTION("""COMPUTED_VALUE"""),1253.79)</f>
        <v>1253.79</v>
      </c>
      <c r="H43" s="53" t="str">
        <f t="shared" si="1"/>
        <v>iShares Treasury Bond 20+ UCITS@SELL@-292@1253.79</v>
      </c>
    </row>
    <row r="44">
      <c r="A44" s="47">
        <f>IFERROR(__xludf.DUMMYFUNCTION("""COMPUTED_VALUE"""),43608.0)</f>
        <v>43608</v>
      </c>
      <c r="B44" t="str">
        <f>IFERROR(__xludf.DUMMYFUNCTION("""COMPUTED_VALUE"""),"Long term US bonds (20-25 year)")</f>
        <v>Long term US bonds (20-25 year)</v>
      </c>
      <c r="C44" s="48" t="str">
        <f>IFERROR(__xludf.DUMMYFUNCTION("""COMPUTED_VALUE"""),"iShares Treasury Bond 20+ UCITS")</f>
        <v>iShares Treasury Bond 20+ UCITS</v>
      </c>
      <c r="D44" s="49" t="str">
        <f>IFERROR(__xludf.DUMMYFUNCTION("""COMPUTED_VALUE"""),"COST")</f>
        <v>COST</v>
      </c>
      <c r="E44" s="50" t="str">
        <f>IFERROR(__xludf.DUMMYFUNCTION("""COMPUTED_VALUE"""),"")</f>
        <v/>
      </c>
      <c r="F44" s="51" t="str">
        <f>IFERROR(__xludf.DUMMYFUNCTION("""COMPUTED_VALUE"""),"")</f>
        <v/>
      </c>
      <c r="G44" s="52">
        <f>IFERROR(__xludf.DUMMYFUNCTION("""COMPUTED_VALUE"""),-2.21)</f>
        <v>-2.21</v>
      </c>
      <c r="H44" s="53" t="str">
        <f t="shared" si="1"/>
        <v>iShares Treasury Bond 20+ UCITS@COST@@-2.21</v>
      </c>
    </row>
    <row r="45">
      <c r="A45" s="47">
        <f>IFERROR(__xludf.DUMMYFUNCTION("""COMPUTED_VALUE"""),43608.0)</f>
        <v>43608</v>
      </c>
      <c r="B45" t="str">
        <f>IFERROR(__xludf.DUMMYFUNCTION("""COMPUTED_VALUE"""),"Long term US bonds (20-25 year)")</f>
        <v>Long term US bonds (20-25 year)</v>
      </c>
      <c r="C45" s="48" t="str">
        <f>IFERROR(__xludf.DUMMYFUNCTION("""COMPUTED_VALUE"""),"iShares Treasury Bond 20+ UCITS")</f>
        <v>iShares Treasury Bond 20+ UCITS</v>
      </c>
      <c r="D45" s="49" t="str">
        <f>IFERROR(__xludf.DUMMYFUNCTION("""COMPUTED_VALUE"""),"SELL")</f>
        <v>SELL</v>
      </c>
      <c r="E45" s="50">
        <f>IFERROR(__xludf.DUMMYFUNCTION("""COMPUTED_VALUE"""),-251.0)</f>
        <v>-251</v>
      </c>
      <c r="F45" s="51">
        <f>IFERROR(__xludf.DUMMYFUNCTION("""COMPUTED_VALUE"""),4.27800796812749)</f>
        <v>4.278007968</v>
      </c>
      <c r="G45" s="52">
        <f>IFERROR(__xludf.DUMMYFUNCTION("""COMPUTED_VALUE"""),1073.78)</f>
        <v>1073.78</v>
      </c>
      <c r="H45" s="53" t="str">
        <f t="shared" si="1"/>
        <v>iShares Treasury Bond 20+ UCITS@SELL@-251@1073.78</v>
      </c>
    </row>
    <row r="46">
      <c r="A46" s="47">
        <f>IFERROR(__xludf.DUMMYFUNCTION("""COMPUTED_VALUE"""),43600.0)</f>
        <v>43600</v>
      </c>
      <c r="B46" t="str">
        <f>IFERROR(__xludf.DUMMYFUNCTION("""COMPUTED_VALUE"""),"Intermediate US bonds (7-10 year)")</f>
        <v>Intermediate US bonds (7-10 year)</v>
      </c>
      <c r="C46" s="48" t="str">
        <f>IFERROR(__xludf.DUMMYFUNCTION("""COMPUTED_VALUE"""),"iShares Treasury Bond 7-10 UCITS")</f>
        <v>iShares Treasury Bond 7-10 UCITS</v>
      </c>
      <c r="D46" s="49" t="str">
        <f>IFERROR(__xludf.DUMMYFUNCTION("""COMPUTED_VALUE"""),"SELL")</f>
        <v>SELL</v>
      </c>
      <c r="E46" s="50">
        <f>IFERROR(__xludf.DUMMYFUNCTION("""COMPUTED_VALUE"""),-6.0)</f>
        <v>-6</v>
      </c>
      <c r="F46" s="51">
        <f>IFERROR(__xludf.DUMMYFUNCTION("""COMPUTED_VALUE"""),177.46)</f>
        <v>177.46</v>
      </c>
      <c r="G46" s="52">
        <f>IFERROR(__xludf.DUMMYFUNCTION("""COMPUTED_VALUE"""),1064.76)</f>
        <v>1064.76</v>
      </c>
      <c r="H46" s="53" t="str">
        <f t="shared" si="1"/>
        <v>iShares Treasury Bond 7-10 UCITS@SELL@-6@1064.76</v>
      </c>
    </row>
    <row r="47">
      <c r="A47" s="47">
        <f>IFERROR(__xludf.DUMMYFUNCTION("""COMPUTED_VALUE"""),43599.0)</f>
        <v>43599</v>
      </c>
      <c r="B47" t="str">
        <f>IFERROR(__xludf.DUMMYFUNCTION("""COMPUTED_VALUE"""),"Commodities")</f>
        <v>Commodities</v>
      </c>
      <c r="C47" s="48" t="str">
        <f>IFERROR(__xludf.DUMMYFUNCTION("""COMPUTED_VALUE"""),"ETFS All Commodities ETC")</f>
        <v>ETFS All Commodities ETC</v>
      </c>
      <c r="D47" s="49" t="str">
        <f>IFERROR(__xludf.DUMMYFUNCTION("""COMPUTED_VALUE"""),"BUY")</f>
        <v>BUY</v>
      </c>
      <c r="E47" s="50">
        <f>IFERROR(__xludf.DUMMYFUNCTION("""COMPUTED_VALUE"""),461.0)</f>
        <v>461</v>
      </c>
      <c r="F47" s="51">
        <f>IFERROR(__xludf.DUMMYFUNCTION("""COMPUTED_VALUE"""),7.13)</f>
        <v>7.13</v>
      </c>
      <c r="G47" s="52">
        <f>IFERROR(__xludf.DUMMYFUNCTION("""COMPUTED_VALUE"""),-3286.93)</f>
        <v>-3286.93</v>
      </c>
      <c r="H47" s="53" t="str">
        <f t="shared" si="1"/>
        <v>ETFS All Commodities ETC@BUY@461@-3286.93</v>
      </c>
    </row>
    <row r="48">
      <c r="A48" s="47">
        <f>IFERROR(__xludf.DUMMYFUNCTION("""COMPUTED_VALUE"""),43598.0)</f>
        <v>43598</v>
      </c>
      <c r="B48" t="str">
        <f>IFERROR(__xludf.DUMMYFUNCTION("""COMPUTED_VALUE"""),"Long term US bonds (20-25 year)")</f>
        <v>Long term US bonds (20-25 year)</v>
      </c>
      <c r="C48" s="48" t="str">
        <f>IFERROR(__xludf.DUMMYFUNCTION("""COMPUTED_VALUE"""),"iShares Treasury Bond 20+ UCITS")</f>
        <v>iShares Treasury Bond 20+ UCITS</v>
      </c>
      <c r="D48" s="49" t="str">
        <f>IFERROR(__xludf.DUMMYFUNCTION("""COMPUTED_VALUE"""),"COST")</f>
        <v>COST</v>
      </c>
      <c r="E48" s="50" t="str">
        <f>IFERROR(__xludf.DUMMYFUNCTION("""COMPUTED_VALUE"""),"")</f>
        <v/>
      </c>
      <c r="F48" s="51" t="str">
        <f>IFERROR(__xludf.DUMMYFUNCTION("""COMPUTED_VALUE"""),"")</f>
        <v/>
      </c>
      <c r="G48" s="52">
        <f>IFERROR(__xludf.DUMMYFUNCTION("""COMPUTED_VALUE"""),-2.46)</f>
        <v>-2.46</v>
      </c>
      <c r="H48" s="53" t="str">
        <f t="shared" si="1"/>
        <v>iShares Treasury Bond 20+ UCITS@COST@@-2.46</v>
      </c>
    </row>
    <row r="49">
      <c r="A49" s="47">
        <f>IFERROR(__xludf.DUMMYFUNCTION("""COMPUTED_VALUE"""),43598.0)</f>
        <v>43598</v>
      </c>
      <c r="B49" t="str">
        <f>IFERROR(__xludf.DUMMYFUNCTION("""COMPUTED_VALUE"""),"Long term US bonds (20-25 year)")</f>
        <v>Long term US bonds (20-25 year)</v>
      </c>
      <c r="C49" s="48" t="str">
        <f>IFERROR(__xludf.DUMMYFUNCTION("""COMPUTED_VALUE"""),"iShares Treasury Bond 20+ UCITS")</f>
        <v>iShares Treasury Bond 20+ UCITS</v>
      </c>
      <c r="D49" s="49" t="str">
        <f>IFERROR(__xludf.DUMMYFUNCTION("""COMPUTED_VALUE"""),"SELL")</f>
        <v>SELL</v>
      </c>
      <c r="E49" s="50">
        <f>IFERROR(__xludf.DUMMYFUNCTION("""COMPUTED_VALUE"""),-552.0)</f>
        <v>-552</v>
      </c>
      <c r="F49" s="51">
        <f>IFERROR(__xludf.DUMMYFUNCTION("""COMPUTED_VALUE"""),4.204402173913043)</f>
        <v>4.204402174</v>
      </c>
      <c r="G49" s="52">
        <f>IFERROR(__xludf.DUMMYFUNCTION("""COMPUTED_VALUE"""),2320.83)</f>
        <v>2320.83</v>
      </c>
      <c r="H49" s="53" t="str">
        <f t="shared" si="1"/>
        <v>iShares Treasury Bond 20+ UCITS@SELL@-552@2320.83</v>
      </c>
    </row>
    <row r="50">
      <c r="A50" s="47">
        <f>IFERROR(__xludf.DUMMYFUNCTION("""COMPUTED_VALUE"""),43596.0)</f>
        <v>43596</v>
      </c>
      <c r="B50" t="str">
        <f>IFERROR(__xludf.DUMMYFUNCTION("""COMPUTED_VALUE"""),"")</f>
        <v/>
      </c>
      <c r="C50" s="48" t="str">
        <f>IFERROR(__xludf.DUMMYFUNCTION("""COMPUTED_VALUE"""),"")</f>
        <v/>
      </c>
      <c r="D50" s="49" t="str">
        <f>IFERROR(__xludf.DUMMYFUNCTION("""COMPUTED_VALUE"""),"APPROVISIONNEMENT")</f>
        <v>APPROVISIONNEMENT</v>
      </c>
      <c r="E50" s="50" t="str">
        <f>IFERROR(__xludf.DUMMYFUNCTION("""COMPUTED_VALUE"""),"")</f>
        <v/>
      </c>
      <c r="F50" s="51" t="str">
        <f>IFERROR(__xludf.DUMMYFUNCTION("""COMPUTED_VALUE"""),"")</f>
        <v/>
      </c>
      <c r="G50" s="52">
        <f>IFERROR(__xludf.DUMMYFUNCTION("""COMPUTED_VALUE"""),-500.0)</f>
        <v>-500</v>
      </c>
      <c r="H50" s="53" t="str">
        <f t="shared" si="1"/>
        <v>@APPROVISIONNEMENT@@-500</v>
      </c>
    </row>
    <row r="51">
      <c r="A51" s="47">
        <f>IFERROR(__xludf.DUMMYFUNCTION("""COMPUTED_VALUE"""),43593.0)</f>
        <v>43593</v>
      </c>
      <c r="B51" t="str">
        <f>IFERROR(__xludf.DUMMYFUNCTION("""COMPUTED_VALUE"""),"Long term US bonds (20-25 year)")</f>
        <v>Long term US bonds (20-25 year)</v>
      </c>
      <c r="C51" s="48" t="str">
        <f>IFERROR(__xludf.DUMMYFUNCTION("""COMPUTED_VALUE"""),"iShares Treasury Bond 20+ UCITS")</f>
        <v>iShares Treasury Bond 20+ UCITS</v>
      </c>
      <c r="D51" s="49" t="str">
        <f>IFERROR(__xludf.DUMMYFUNCTION("""COMPUTED_VALUE"""),"COST")</f>
        <v>COST</v>
      </c>
      <c r="E51" s="50" t="str">
        <f>IFERROR(__xludf.DUMMYFUNCTION("""COMPUTED_VALUE"""),"")</f>
        <v/>
      </c>
      <c r="F51" s="51" t="str">
        <f>IFERROR(__xludf.DUMMYFUNCTION("""COMPUTED_VALUE"""),"")</f>
        <v/>
      </c>
      <c r="G51" s="52">
        <f>IFERROR(__xludf.DUMMYFUNCTION("""COMPUTED_VALUE"""),-2.35)</f>
        <v>-2.35</v>
      </c>
      <c r="H51" s="53" t="str">
        <f t="shared" si="1"/>
        <v>iShares Treasury Bond 20+ UCITS@COST@@-2.35</v>
      </c>
    </row>
    <row r="52">
      <c r="A52" s="47">
        <f>IFERROR(__xludf.DUMMYFUNCTION("""COMPUTED_VALUE"""),43593.0)</f>
        <v>43593</v>
      </c>
      <c r="B52" t="str">
        <f>IFERROR(__xludf.DUMMYFUNCTION("""COMPUTED_VALUE"""),"Long term US bonds (20-25 year)")</f>
        <v>Long term US bonds (20-25 year)</v>
      </c>
      <c r="C52" s="48" t="str">
        <f>IFERROR(__xludf.DUMMYFUNCTION("""COMPUTED_VALUE"""),"iShares Treasury Bond 20+ UCITS")</f>
        <v>iShares Treasury Bond 20+ UCITS</v>
      </c>
      <c r="D52" s="49" t="str">
        <f>IFERROR(__xludf.DUMMYFUNCTION("""COMPUTED_VALUE"""),"SELL")</f>
        <v>SELL</v>
      </c>
      <c r="E52" s="50">
        <f>IFERROR(__xludf.DUMMYFUNCTION("""COMPUTED_VALUE"""),-412.0)</f>
        <v>-412</v>
      </c>
      <c r="F52" s="51">
        <f>IFERROR(__xludf.DUMMYFUNCTION("""COMPUTED_VALUE"""),4.220800970873786)</f>
        <v>4.220800971</v>
      </c>
      <c r="G52" s="52">
        <f>IFERROR(__xludf.DUMMYFUNCTION("""COMPUTED_VALUE"""),1738.97)</f>
        <v>1738.97</v>
      </c>
      <c r="H52" s="53" t="str">
        <f t="shared" si="1"/>
        <v>iShares Treasury Bond 20+ UCITS@SELL@-412@1738.97</v>
      </c>
    </row>
    <row r="53">
      <c r="A53" s="47">
        <f>IFERROR(__xludf.DUMMYFUNCTION("""COMPUTED_VALUE"""),43593.0)</f>
        <v>43593</v>
      </c>
      <c r="B53" t="str">
        <f>IFERROR(__xludf.DUMMYFUNCTION("""COMPUTED_VALUE"""),"Intermediate US bonds (7-10 year)")</f>
        <v>Intermediate US bonds (7-10 year)</v>
      </c>
      <c r="C53" s="48" t="str">
        <f>IFERROR(__xludf.DUMMYFUNCTION("""COMPUTED_VALUE"""),"iShares Treasury Bond 7-10 UCITS")</f>
        <v>iShares Treasury Bond 7-10 UCITS</v>
      </c>
      <c r="D53" s="49" t="str">
        <f>IFERROR(__xludf.DUMMYFUNCTION("""COMPUTED_VALUE"""),"SELL")</f>
        <v>SELL</v>
      </c>
      <c r="E53" s="50">
        <f>IFERROR(__xludf.DUMMYFUNCTION("""COMPUTED_VALUE"""),-7.0)</f>
        <v>-7</v>
      </c>
      <c r="F53" s="51">
        <f>IFERROR(__xludf.DUMMYFUNCTION("""COMPUTED_VALUE"""),176.20000000000002)</f>
        <v>176.2</v>
      </c>
      <c r="G53" s="52">
        <f>IFERROR(__xludf.DUMMYFUNCTION("""COMPUTED_VALUE"""),1233.4)</f>
        <v>1233.4</v>
      </c>
      <c r="H53" s="53" t="str">
        <f t="shared" si="1"/>
        <v>iShares Treasury Bond 7-10 UCITS@SELL@-7@1233.4</v>
      </c>
    </row>
    <row r="54">
      <c r="A54" s="47">
        <f>IFERROR(__xludf.DUMMYFUNCTION("""COMPUTED_VALUE"""),43593.0)</f>
        <v>43593</v>
      </c>
      <c r="B54" t="str">
        <f>IFERROR(__xludf.DUMMYFUNCTION("""COMPUTED_VALUE"""),"Long term US bonds (20-25 year)")</f>
        <v>Long term US bonds (20-25 year)</v>
      </c>
      <c r="C54" s="48" t="str">
        <f>IFERROR(__xludf.DUMMYFUNCTION("""COMPUTED_VALUE"""),"iShares Treasury Bond 20+ UCITS")</f>
        <v>iShares Treasury Bond 20+ UCITS</v>
      </c>
      <c r="D54" s="49" t="str">
        <f>IFERROR(__xludf.DUMMYFUNCTION("""COMPUTED_VALUE"""),"COST")</f>
        <v>COST</v>
      </c>
      <c r="E54" s="50" t="str">
        <f>IFERROR(__xludf.DUMMYFUNCTION("""COMPUTED_VALUE"""),"")</f>
        <v/>
      </c>
      <c r="F54" s="51" t="str">
        <f>IFERROR(__xludf.DUMMYFUNCTION("""COMPUTED_VALUE"""),"")</f>
        <v/>
      </c>
      <c r="G54" s="52">
        <f>IFERROR(__xludf.DUMMYFUNCTION("""COMPUTED_VALUE"""),-2.33)</f>
        <v>-2.33</v>
      </c>
      <c r="H54" s="53" t="str">
        <f t="shared" si="1"/>
        <v>iShares Treasury Bond 20+ UCITS@COST@@-2.33</v>
      </c>
    </row>
    <row r="55">
      <c r="A55" s="47">
        <f>IFERROR(__xludf.DUMMYFUNCTION("""COMPUTED_VALUE"""),43593.0)</f>
        <v>43593</v>
      </c>
      <c r="B55" t="str">
        <f>IFERROR(__xludf.DUMMYFUNCTION("""COMPUTED_VALUE"""),"Long term US bonds (20-25 year)")</f>
        <v>Long term US bonds (20-25 year)</v>
      </c>
      <c r="C55" s="48" t="str">
        <f>IFERROR(__xludf.DUMMYFUNCTION("""COMPUTED_VALUE"""),"iShares Treasury Bond 20+ UCITS")</f>
        <v>iShares Treasury Bond 20+ UCITS</v>
      </c>
      <c r="D55" s="49" t="str">
        <f>IFERROR(__xludf.DUMMYFUNCTION("""COMPUTED_VALUE"""),"SELL")</f>
        <v>SELL</v>
      </c>
      <c r="E55" s="50">
        <f>IFERROR(__xludf.DUMMYFUNCTION("""COMPUTED_VALUE"""),-388.0)</f>
        <v>-388</v>
      </c>
      <c r="F55" s="51">
        <f>IFERROR(__xludf.DUMMYFUNCTION("""COMPUTED_VALUE"""),4.211005154639175)</f>
        <v>4.211005155</v>
      </c>
      <c r="G55" s="52">
        <f>IFERROR(__xludf.DUMMYFUNCTION("""COMPUTED_VALUE"""),1633.87)</f>
        <v>1633.87</v>
      </c>
      <c r="H55" s="53" t="str">
        <f t="shared" si="1"/>
        <v>iShares Treasury Bond 20+ UCITS@SELL@-388@1633.87</v>
      </c>
    </row>
    <row r="56">
      <c r="A56" s="47">
        <f>IFERROR(__xludf.DUMMYFUNCTION("""COMPUTED_VALUE"""),43592.0)</f>
        <v>43592</v>
      </c>
      <c r="B56" t="str">
        <f>IFERROR(__xludf.DUMMYFUNCTION("""COMPUTED_VALUE"""),"Long term US bonds (20-25 year)")</f>
        <v>Long term US bonds (20-25 year)</v>
      </c>
      <c r="C56" s="48" t="str">
        <f>IFERROR(__xludf.DUMMYFUNCTION("""COMPUTED_VALUE"""),"iShares Treasury Bond 20+ UCITS")</f>
        <v>iShares Treasury Bond 20+ UCITS</v>
      </c>
      <c r="D56" s="49" t="str">
        <f>IFERROR(__xludf.DUMMYFUNCTION("""COMPUTED_VALUE"""),"COST")</f>
        <v>COST</v>
      </c>
      <c r="E56" s="50" t="str">
        <f>IFERROR(__xludf.DUMMYFUNCTION("""COMPUTED_VALUE"""),"")</f>
        <v/>
      </c>
      <c r="F56" s="51" t="str">
        <f>IFERROR(__xludf.DUMMYFUNCTION("""COMPUTED_VALUE"""),"")</f>
        <v/>
      </c>
      <c r="G56" s="52">
        <f>IFERROR(__xludf.DUMMYFUNCTION("""COMPUTED_VALUE"""),-2.23)</f>
        <v>-2.23</v>
      </c>
      <c r="H56" s="53" t="str">
        <f t="shared" si="1"/>
        <v>iShares Treasury Bond 20+ UCITS@COST@@-2.23</v>
      </c>
    </row>
    <row r="57">
      <c r="A57" s="47">
        <f>IFERROR(__xludf.DUMMYFUNCTION("""COMPUTED_VALUE"""),43592.0)</f>
        <v>43592</v>
      </c>
      <c r="B57" t="str">
        <f>IFERROR(__xludf.DUMMYFUNCTION("""COMPUTED_VALUE"""),"Long term US bonds (20-25 year)")</f>
        <v>Long term US bonds (20-25 year)</v>
      </c>
      <c r="C57" s="48" t="str">
        <f>IFERROR(__xludf.DUMMYFUNCTION("""COMPUTED_VALUE"""),"iShares Treasury Bond 20+ UCITS")</f>
        <v>iShares Treasury Bond 20+ UCITS</v>
      </c>
      <c r="D57" s="49" t="str">
        <f>IFERROR(__xludf.DUMMYFUNCTION("""COMPUTED_VALUE"""),"SELL")</f>
        <v>SELL</v>
      </c>
      <c r="E57" s="50">
        <f>IFERROR(__xludf.DUMMYFUNCTION("""COMPUTED_VALUE"""),-277.0)</f>
        <v>-277</v>
      </c>
      <c r="F57" s="51">
        <f>IFERROR(__xludf.DUMMYFUNCTION("""COMPUTED_VALUE"""),4.198014440433212)</f>
        <v>4.19801444</v>
      </c>
      <c r="G57" s="52">
        <f>IFERROR(__xludf.DUMMYFUNCTION("""COMPUTED_VALUE"""),1162.85)</f>
        <v>1162.85</v>
      </c>
      <c r="H57" s="53" t="str">
        <f t="shared" si="1"/>
        <v>iShares Treasury Bond 20+ UCITS@SELL@-277@1162.85</v>
      </c>
    </row>
    <row r="58">
      <c r="A58" s="47">
        <f>IFERROR(__xludf.DUMMYFUNCTION("""COMPUTED_VALUE"""),43591.0)</f>
        <v>43591</v>
      </c>
      <c r="B58" t="str">
        <f>IFERROR(__xludf.DUMMYFUNCTION("""COMPUTED_VALUE"""),"Intermediate US bonds (7-10 year)")</f>
        <v>Intermediate US bonds (7-10 year)</v>
      </c>
      <c r="C58" s="48" t="str">
        <f>IFERROR(__xludf.DUMMYFUNCTION("""COMPUTED_VALUE"""),"iShares Treasury Bond 7-10 UCITS")</f>
        <v>iShares Treasury Bond 7-10 UCITS</v>
      </c>
      <c r="D58" s="49" t="str">
        <f>IFERROR(__xludf.DUMMYFUNCTION("""COMPUTED_VALUE"""),"SELL")</f>
        <v>SELL</v>
      </c>
      <c r="E58" s="50">
        <f>IFERROR(__xludf.DUMMYFUNCTION("""COMPUTED_VALUE"""),-6.0)</f>
        <v>-6</v>
      </c>
      <c r="F58" s="51">
        <f>IFERROR(__xludf.DUMMYFUNCTION("""COMPUTED_VALUE"""),175.51)</f>
        <v>175.51</v>
      </c>
      <c r="G58" s="52">
        <f>IFERROR(__xludf.DUMMYFUNCTION("""COMPUTED_VALUE"""),1053.06)</f>
        <v>1053.06</v>
      </c>
      <c r="H58" s="53" t="str">
        <f t="shared" si="1"/>
        <v>iShares Treasury Bond 7-10 UCITS@SELL@-6@1053.06</v>
      </c>
    </row>
    <row r="59">
      <c r="A59" s="47">
        <f>IFERROR(__xludf.DUMMYFUNCTION("""COMPUTED_VALUE"""),43591.0)</f>
        <v>43591</v>
      </c>
      <c r="B59" t="str">
        <f>IFERROR(__xludf.DUMMYFUNCTION("""COMPUTED_VALUE"""),"Long term US bonds (20-25 year)")</f>
        <v>Long term US bonds (20-25 year)</v>
      </c>
      <c r="C59" s="48" t="str">
        <f>IFERROR(__xludf.DUMMYFUNCTION("""COMPUTED_VALUE"""),"iShares Treasury Bond 20+ UCITS")</f>
        <v>iShares Treasury Bond 20+ UCITS</v>
      </c>
      <c r="D59" s="49" t="str">
        <f>IFERROR(__xludf.DUMMYFUNCTION("""COMPUTED_VALUE"""),"COST")</f>
        <v>COST</v>
      </c>
      <c r="E59" s="50" t="str">
        <f>IFERROR(__xludf.DUMMYFUNCTION("""COMPUTED_VALUE"""),"")</f>
        <v/>
      </c>
      <c r="F59" s="51" t="str">
        <f>IFERROR(__xludf.DUMMYFUNCTION("""COMPUTED_VALUE"""),"")</f>
        <v/>
      </c>
      <c r="G59" s="52">
        <f>IFERROR(__xludf.DUMMYFUNCTION("""COMPUTED_VALUE"""),-2.77)</f>
        <v>-2.77</v>
      </c>
      <c r="H59" s="53" t="str">
        <f t="shared" si="1"/>
        <v>iShares Treasury Bond 20+ UCITS@COST@@-2.77</v>
      </c>
    </row>
    <row r="60">
      <c r="A60" s="47">
        <f>IFERROR(__xludf.DUMMYFUNCTION("""COMPUTED_VALUE"""),43591.0)</f>
        <v>43591</v>
      </c>
      <c r="B60" t="str">
        <f>IFERROR(__xludf.DUMMYFUNCTION("""COMPUTED_VALUE"""),"Long term US bonds (20-25 year)")</f>
        <v>Long term US bonds (20-25 year)</v>
      </c>
      <c r="C60" s="48" t="str">
        <f>IFERROR(__xludf.DUMMYFUNCTION("""COMPUTED_VALUE"""),"iShares Treasury Bond 20+ UCITS")</f>
        <v>iShares Treasury Bond 20+ UCITS</v>
      </c>
      <c r="D60" s="49" t="str">
        <f>IFERROR(__xludf.DUMMYFUNCTION("""COMPUTED_VALUE"""),"SELL")</f>
        <v>SELL</v>
      </c>
      <c r="E60" s="50">
        <f>IFERROR(__xludf.DUMMYFUNCTION("""COMPUTED_VALUE"""),-925.0)</f>
        <v>-925</v>
      </c>
      <c r="F60" s="51">
        <f>IFERROR(__xludf.DUMMYFUNCTION("""COMPUTED_VALUE"""),4.1872)</f>
        <v>4.1872</v>
      </c>
      <c r="G60" s="52">
        <f>IFERROR(__xludf.DUMMYFUNCTION("""COMPUTED_VALUE"""),3873.16)</f>
        <v>3873.16</v>
      </c>
      <c r="H60" s="53" t="str">
        <f t="shared" si="1"/>
        <v>iShares Treasury Bond 20+ UCITS@SELL@-925@3873.16</v>
      </c>
    </row>
    <row r="61">
      <c r="A61" s="47">
        <f>IFERROR(__xludf.DUMMYFUNCTION("""COMPUTED_VALUE"""),43588.0)</f>
        <v>43588</v>
      </c>
      <c r="B61" t="str">
        <f>IFERROR(__xludf.DUMMYFUNCTION("""COMPUTED_VALUE"""),"Long term US bonds (20-25 year)")</f>
        <v>Long term US bonds (20-25 year)</v>
      </c>
      <c r="C61" s="48" t="str">
        <f>IFERROR(__xludf.DUMMYFUNCTION("""COMPUTED_VALUE"""),"iShares Treasury Bond 20+ UCITS")</f>
        <v>iShares Treasury Bond 20+ UCITS</v>
      </c>
      <c r="D61" s="49" t="str">
        <f>IFERROR(__xludf.DUMMYFUNCTION("""COMPUTED_VALUE"""),"COST")</f>
        <v>COST</v>
      </c>
      <c r="E61" s="50" t="str">
        <f>IFERROR(__xludf.DUMMYFUNCTION("""COMPUTED_VALUE"""),"")</f>
        <v/>
      </c>
      <c r="F61" s="51" t="str">
        <f>IFERROR(__xludf.DUMMYFUNCTION("""COMPUTED_VALUE"""),"")</f>
        <v/>
      </c>
      <c r="G61" s="52">
        <f>IFERROR(__xludf.DUMMYFUNCTION("""COMPUTED_VALUE"""),-2.25)</f>
        <v>-2.25</v>
      </c>
      <c r="H61" s="53" t="str">
        <f t="shared" si="1"/>
        <v>iShares Treasury Bond 20+ UCITS@COST@@-2.25</v>
      </c>
    </row>
    <row r="62">
      <c r="A62" s="47">
        <f>IFERROR(__xludf.DUMMYFUNCTION("""COMPUTED_VALUE"""),43588.0)</f>
        <v>43588</v>
      </c>
      <c r="B62" t="str">
        <f>IFERROR(__xludf.DUMMYFUNCTION("""COMPUTED_VALUE"""),"Long term US bonds (20-25 year)")</f>
        <v>Long term US bonds (20-25 year)</v>
      </c>
      <c r="C62" s="48" t="str">
        <f>IFERROR(__xludf.DUMMYFUNCTION("""COMPUTED_VALUE"""),"iShares Treasury Bond 20+ UCITS")</f>
        <v>iShares Treasury Bond 20+ UCITS</v>
      </c>
      <c r="D62" s="49" t="str">
        <f>IFERROR(__xludf.DUMMYFUNCTION("""COMPUTED_VALUE"""),"SELL")</f>
        <v>SELL</v>
      </c>
      <c r="E62" s="50">
        <f>IFERROR(__xludf.DUMMYFUNCTION("""COMPUTED_VALUE"""),-295.0)</f>
        <v>-295</v>
      </c>
      <c r="F62" s="51">
        <f>IFERROR(__xludf.DUMMYFUNCTION("""COMPUTED_VALUE"""),4.168610169491526)</f>
        <v>4.168610169</v>
      </c>
      <c r="G62" s="52">
        <f>IFERROR(__xludf.DUMMYFUNCTION("""COMPUTED_VALUE"""),1229.74)</f>
        <v>1229.74</v>
      </c>
      <c r="H62" s="53" t="str">
        <f t="shared" si="1"/>
        <v>iShares Treasury Bond 20+ UCITS@SELL@-295@1229.74</v>
      </c>
    </row>
    <row r="63">
      <c r="A63" s="47">
        <f>IFERROR(__xludf.DUMMYFUNCTION("""COMPUTED_VALUE"""),43585.0)</f>
        <v>43585</v>
      </c>
      <c r="B63" t="str">
        <f>IFERROR(__xludf.DUMMYFUNCTION("""COMPUTED_VALUE"""),"")</f>
        <v/>
      </c>
      <c r="C63" s="48" t="str">
        <f>IFERROR(__xludf.DUMMYFUNCTION("""COMPUTED_VALUE"""),"")</f>
        <v/>
      </c>
      <c r="D63" s="49" t="str">
        <f>IFERROR(__xludf.DUMMYFUNCTION("""COMPUTED_VALUE"""),"COST")</f>
        <v>COST</v>
      </c>
      <c r="E63" s="50" t="str">
        <f>IFERROR(__xludf.DUMMYFUNCTION("""COMPUTED_VALUE"""),"")</f>
        <v/>
      </c>
      <c r="F63" s="51" t="str">
        <f>IFERROR(__xludf.DUMMYFUNCTION("""COMPUTED_VALUE"""),"")</f>
        <v/>
      </c>
      <c r="G63" s="52">
        <f>IFERROR(__xludf.DUMMYFUNCTION("""COMPUTED_VALUE"""),-2.5)</f>
        <v>-2.5</v>
      </c>
      <c r="H63" s="53" t="str">
        <f t="shared" si="1"/>
        <v>@COST@@-2.5</v>
      </c>
    </row>
    <row r="64">
      <c r="A64" s="47">
        <f>IFERROR(__xludf.DUMMYFUNCTION("""COMPUTED_VALUE"""),43588.0)</f>
        <v>43588</v>
      </c>
      <c r="B64" t="str">
        <f>IFERROR(__xludf.DUMMYFUNCTION("""COMPUTED_VALUE"""),"")</f>
        <v/>
      </c>
      <c r="C64" s="48" t="str">
        <f>IFERROR(__xludf.DUMMYFUNCTION("""COMPUTED_VALUE"""),"")</f>
        <v/>
      </c>
      <c r="D64" s="49" t="str">
        <f>IFERROR(__xludf.DUMMYFUNCTION("""COMPUTED_VALUE"""),"APPROVISIONNEMENT")</f>
        <v>APPROVISIONNEMENT</v>
      </c>
      <c r="E64" s="50" t="str">
        <f>IFERROR(__xludf.DUMMYFUNCTION("""COMPUTED_VALUE"""),"")</f>
        <v/>
      </c>
      <c r="F64" s="51" t="str">
        <f>IFERROR(__xludf.DUMMYFUNCTION("""COMPUTED_VALUE"""),"")</f>
        <v/>
      </c>
      <c r="G64" s="52">
        <f>IFERROR(__xludf.DUMMYFUNCTION("""COMPUTED_VALUE"""),-500.0)</f>
        <v>-500</v>
      </c>
      <c r="H64" s="53" t="str">
        <f t="shared" si="1"/>
        <v>@APPROVISIONNEMENT@@-500</v>
      </c>
    </row>
    <row r="65">
      <c r="A65" s="47">
        <f>IFERROR(__xludf.DUMMYFUNCTION("""COMPUTED_VALUE"""),43585.0)</f>
        <v>43585</v>
      </c>
      <c r="B65" t="str">
        <f>IFERROR(__xludf.DUMMYFUNCTION("""COMPUTED_VALUE"""),"")</f>
        <v/>
      </c>
      <c r="C65" s="48" t="str">
        <f>IFERROR(__xludf.DUMMYFUNCTION("""COMPUTED_VALUE"""),"")</f>
        <v/>
      </c>
      <c r="D65" s="49" t="str">
        <f>IFERROR(__xludf.DUMMYFUNCTION("""COMPUTED_VALUE"""),"COST")</f>
        <v>COST</v>
      </c>
      <c r="E65" s="50" t="str">
        <f>IFERROR(__xludf.DUMMYFUNCTION("""COMPUTED_VALUE"""),"")</f>
        <v/>
      </c>
      <c r="F65" s="51" t="str">
        <f>IFERROR(__xludf.DUMMYFUNCTION("""COMPUTED_VALUE"""),"")</f>
        <v/>
      </c>
      <c r="G65" s="52">
        <f>IFERROR(__xludf.DUMMYFUNCTION("""COMPUTED_VALUE"""),-547.92)</f>
        <v>-547.92</v>
      </c>
      <c r="H65" s="53" t="str">
        <f t="shared" si="1"/>
        <v>@COST@@-547.92</v>
      </c>
    </row>
    <row r="66">
      <c r="A66" s="47">
        <f>IFERROR(__xludf.DUMMYFUNCTION("""COMPUTED_VALUE"""),43584.0)</f>
        <v>43584</v>
      </c>
      <c r="B66" t="str">
        <f>IFERROR(__xludf.DUMMYFUNCTION("""COMPUTED_VALUE"""),"Stocks")</f>
        <v>Stocks</v>
      </c>
      <c r="C66" s="48" t="str">
        <f>IFERROR(__xludf.DUMMYFUNCTION("""COMPUTED_VALUE"""),"Vanguard S&amp;P 500 UCITS")</f>
        <v>Vanguard S&amp;P 500 UCITS</v>
      </c>
      <c r="D66" s="49" t="str">
        <f>IFERROR(__xludf.DUMMYFUNCTION("""COMPUTED_VALUE"""),"SELL")</f>
        <v>SELL</v>
      </c>
      <c r="E66" s="50">
        <f>IFERROR(__xludf.DUMMYFUNCTION("""COMPUTED_VALUE"""),-25.0)</f>
        <v>-25</v>
      </c>
      <c r="F66" s="51">
        <f>IFERROR(__xludf.DUMMYFUNCTION("""COMPUTED_VALUE"""),50.092)</f>
        <v>50.092</v>
      </c>
      <c r="G66" s="52">
        <f>IFERROR(__xludf.DUMMYFUNCTION("""COMPUTED_VALUE"""),1252.3)</f>
        <v>1252.3</v>
      </c>
      <c r="H66" s="53" t="str">
        <f t="shared" si="1"/>
        <v>Vanguard S&amp;P 500 UCITS@SELL@-25@1252.3</v>
      </c>
    </row>
    <row r="67">
      <c r="A67" s="47">
        <f>IFERROR(__xludf.DUMMYFUNCTION("""COMPUTED_VALUE"""),43580.0)</f>
        <v>43580</v>
      </c>
      <c r="B67" t="str">
        <f>IFERROR(__xludf.DUMMYFUNCTION("""COMPUTED_VALUE"""),"Long term US bonds (20-25 year)")</f>
        <v>Long term US bonds (20-25 year)</v>
      </c>
      <c r="C67" s="48" t="str">
        <f>IFERROR(__xludf.DUMMYFUNCTION("""COMPUTED_VALUE"""),"iShares Treasury Bond 20+ UCITS")</f>
        <v>iShares Treasury Bond 20+ UCITS</v>
      </c>
      <c r="D67" s="49" t="str">
        <f>IFERROR(__xludf.DUMMYFUNCTION("""COMPUTED_VALUE"""),"COST")</f>
        <v>COST</v>
      </c>
      <c r="E67" s="50" t="str">
        <f>IFERROR(__xludf.DUMMYFUNCTION("""COMPUTED_VALUE"""),"")</f>
        <v/>
      </c>
      <c r="F67" s="51" t="str">
        <f>IFERROR(__xludf.DUMMYFUNCTION("""COMPUTED_VALUE"""),"")</f>
        <v/>
      </c>
      <c r="G67" s="52">
        <f>IFERROR(__xludf.DUMMYFUNCTION("""COMPUTED_VALUE"""),-2.45)</f>
        <v>-2.45</v>
      </c>
      <c r="H67" s="53" t="str">
        <f t="shared" si="1"/>
        <v>iShares Treasury Bond 20+ UCITS@COST@@-2.45</v>
      </c>
    </row>
    <row r="68">
      <c r="A68" s="47">
        <f>IFERROR(__xludf.DUMMYFUNCTION("""COMPUTED_VALUE"""),43580.0)</f>
        <v>43580</v>
      </c>
      <c r="B68" t="str">
        <f>IFERROR(__xludf.DUMMYFUNCTION("""COMPUTED_VALUE"""),"Long term US bonds (20-25 year)")</f>
        <v>Long term US bonds (20-25 year)</v>
      </c>
      <c r="C68" s="48" t="str">
        <f>IFERROR(__xludf.DUMMYFUNCTION("""COMPUTED_VALUE"""),"iShares Treasury Bond 20+ UCITS")</f>
        <v>iShares Treasury Bond 20+ UCITS</v>
      </c>
      <c r="D68" s="49" t="str">
        <f>IFERROR(__xludf.DUMMYFUNCTION("""COMPUTED_VALUE"""),"SELL")</f>
        <v>SELL</v>
      </c>
      <c r="E68" s="50">
        <f>IFERROR(__xludf.DUMMYFUNCTION("""COMPUTED_VALUE"""),-544.0)</f>
        <v>-544</v>
      </c>
      <c r="F68" s="51">
        <f>IFERROR(__xludf.DUMMYFUNCTION("""COMPUTED_VALUE"""),4.162996323529412)</f>
        <v>4.162996324</v>
      </c>
      <c r="G68" s="52">
        <f>IFERROR(__xludf.DUMMYFUNCTION("""COMPUTED_VALUE"""),2264.67)</f>
        <v>2264.67</v>
      </c>
      <c r="H68" s="53" t="str">
        <f t="shared" si="1"/>
        <v>iShares Treasury Bond 20+ UCITS@SELL@-544@2264.67</v>
      </c>
    </row>
    <row r="69">
      <c r="A69" s="47">
        <f>IFERROR(__xludf.DUMMYFUNCTION("""COMPUTED_VALUE"""),43579.0)</f>
        <v>43579</v>
      </c>
      <c r="B69" t="str">
        <f>IFERROR(__xludf.DUMMYFUNCTION("""COMPUTED_VALUE"""),"Intermediate US bonds (7-10 year)")</f>
        <v>Intermediate US bonds (7-10 year)</v>
      </c>
      <c r="C69" s="48" t="str">
        <f>IFERROR(__xludf.DUMMYFUNCTION("""COMPUTED_VALUE"""),"iShares Treasury Bond 7-10 UCITS")</f>
        <v>iShares Treasury Bond 7-10 UCITS</v>
      </c>
      <c r="D69" s="49" t="str">
        <f>IFERROR(__xludf.DUMMYFUNCTION("""COMPUTED_VALUE"""),"SELL")</f>
        <v>SELL</v>
      </c>
      <c r="E69" s="50">
        <f>IFERROR(__xludf.DUMMYFUNCTION("""COMPUTED_VALUE"""),-6.0)</f>
        <v>-6</v>
      </c>
      <c r="F69" s="51">
        <f>IFERROR(__xludf.DUMMYFUNCTION("""COMPUTED_VALUE"""),175.0)</f>
        <v>175</v>
      </c>
      <c r="G69" s="52">
        <f>IFERROR(__xludf.DUMMYFUNCTION("""COMPUTED_VALUE"""),1050.0)</f>
        <v>1050</v>
      </c>
      <c r="H69" s="53" t="str">
        <f t="shared" si="1"/>
        <v>iShares Treasury Bond 7-10 UCITS@SELL@-6@1050</v>
      </c>
    </row>
    <row r="70">
      <c r="A70" s="47">
        <f>IFERROR(__xludf.DUMMYFUNCTION("""COMPUTED_VALUE"""),43579.0)</f>
        <v>43579</v>
      </c>
      <c r="B70" t="str">
        <f>IFERROR(__xludf.DUMMYFUNCTION("""COMPUTED_VALUE"""),"Stocks")</f>
        <v>Stocks</v>
      </c>
      <c r="C70" s="48" t="str">
        <f>IFERROR(__xludf.DUMMYFUNCTION("""COMPUTED_VALUE"""),"Vanguard S&amp;P 500 UCITS")</f>
        <v>Vanguard S&amp;P 500 UCITS</v>
      </c>
      <c r="D70" s="49" t="str">
        <f>IFERROR(__xludf.DUMMYFUNCTION("""COMPUTED_VALUE"""),"SELL")</f>
        <v>SELL</v>
      </c>
      <c r="E70" s="50">
        <f>IFERROR(__xludf.DUMMYFUNCTION("""COMPUTED_VALUE"""),-21.0)</f>
        <v>-21</v>
      </c>
      <c r="F70" s="51">
        <f>IFERROR(__xludf.DUMMYFUNCTION("""COMPUTED_VALUE"""),49.72904761904762)</f>
        <v>49.72904762</v>
      </c>
      <c r="G70" s="52">
        <f>IFERROR(__xludf.DUMMYFUNCTION("""COMPUTED_VALUE"""),1044.31)</f>
        <v>1044.31</v>
      </c>
      <c r="H70" s="53" t="str">
        <f t="shared" si="1"/>
        <v>Vanguard S&amp;P 500 UCITS@SELL@-21@1044.31</v>
      </c>
    </row>
    <row r="71">
      <c r="A71" s="47">
        <f>IFERROR(__xludf.DUMMYFUNCTION("""COMPUTED_VALUE"""),43579.0)</f>
        <v>43579</v>
      </c>
      <c r="B71" t="str">
        <f>IFERROR(__xludf.DUMMYFUNCTION("""COMPUTED_VALUE"""),"Long term US bonds (20-25 year)")</f>
        <v>Long term US bonds (20-25 year)</v>
      </c>
      <c r="C71" s="48" t="str">
        <f>IFERROR(__xludf.DUMMYFUNCTION("""COMPUTED_VALUE"""),"iShares Treasury Bond 20+ UCITS")</f>
        <v>iShares Treasury Bond 20+ UCITS</v>
      </c>
      <c r="D71" s="49" t="str">
        <f>IFERROR(__xludf.DUMMYFUNCTION("""COMPUTED_VALUE"""),"COST")</f>
        <v>COST</v>
      </c>
      <c r="E71" s="50" t="str">
        <f>IFERROR(__xludf.DUMMYFUNCTION("""COMPUTED_VALUE"""),"")</f>
        <v/>
      </c>
      <c r="F71" s="51" t="str">
        <f>IFERROR(__xludf.DUMMYFUNCTION("""COMPUTED_VALUE"""),"")</f>
        <v/>
      </c>
      <c r="G71" s="52">
        <f>IFERROR(__xludf.DUMMYFUNCTION("""COMPUTED_VALUE"""),-2.27)</f>
        <v>-2.27</v>
      </c>
      <c r="H71" s="53" t="str">
        <f t="shared" si="1"/>
        <v>iShares Treasury Bond 20+ UCITS@COST@@-2.27</v>
      </c>
    </row>
    <row r="72">
      <c r="A72" s="47">
        <f>IFERROR(__xludf.DUMMYFUNCTION("""COMPUTED_VALUE"""),43579.0)</f>
        <v>43579</v>
      </c>
      <c r="B72" t="str">
        <f>IFERROR(__xludf.DUMMYFUNCTION("""COMPUTED_VALUE"""),"Long term US bonds (20-25 year)")</f>
        <v>Long term US bonds (20-25 year)</v>
      </c>
      <c r="C72" s="48" t="str">
        <f>IFERROR(__xludf.DUMMYFUNCTION("""COMPUTED_VALUE"""),"iShares Treasury Bond 20+ UCITS")</f>
        <v>iShares Treasury Bond 20+ UCITS</v>
      </c>
      <c r="D72" s="49" t="str">
        <f>IFERROR(__xludf.DUMMYFUNCTION("""COMPUTED_VALUE"""),"SELL")</f>
        <v>SELL</v>
      </c>
      <c r="E72" s="50">
        <f>IFERROR(__xludf.DUMMYFUNCTION("""COMPUTED_VALUE"""),-330.0)</f>
        <v>-330</v>
      </c>
      <c r="F72" s="51">
        <f>IFERROR(__xludf.DUMMYFUNCTION("""COMPUTED_VALUE"""),4.141)</f>
        <v>4.141</v>
      </c>
      <c r="G72" s="52">
        <f>IFERROR(__xludf.DUMMYFUNCTION("""COMPUTED_VALUE"""),1366.53)</f>
        <v>1366.53</v>
      </c>
      <c r="H72" s="53" t="str">
        <f t="shared" si="1"/>
        <v>iShares Treasury Bond 20+ UCITS@SELL@-330@1366.53</v>
      </c>
    </row>
    <row r="73">
      <c r="A73" s="47">
        <f>IFERROR(__xludf.DUMMYFUNCTION("""COMPUTED_VALUE"""),43579.0)</f>
        <v>43579</v>
      </c>
      <c r="B73" t="str">
        <f>IFERROR(__xludf.DUMMYFUNCTION("""COMPUTED_VALUE"""),"Long term US bonds (20-25 year)")</f>
        <v>Long term US bonds (20-25 year)</v>
      </c>
      <c r="C73" s="48" t="str">
        <f>IFERROR(__xludf.DUMMYFUNCTION("""COMPUTED_VALUE"""),"iShares Treasury Bond 20+ UCITS")</f>
        <v>iShares Treasury Bond 20+ UCITS</v>
      </c>
      <c r="D73" s="49" t="str">
        <f>IFERROR(__xludf.DUMMYFUNCTION("""COMPUTED_VALUE"""),"COST")</f>
        <v>COST</v>
      </c>
      <c r="E73" s="50" t="str">
        <f>IFERROR(__xludf.DUMMYFUNCTION("""COMPUTED_VALUE"""),"")</f>
        <v/>
      </c>
      <c r="F73" s="51" t="str">
        <f>IFERROR(__xludf.DUMMYFUNCTION("""COMPUTED_VALUE"""),"")</f>
        <v/>
      </c>
      <c r="G73" s="52">
        <f>IFERROR(__xludf.DUMMYFUNCTION("""COMPUTED_VALUE"""),-2.26)</f>
        <v>-2.26</v>
      </c>
      <c r="H73" s="53" t="str">
        <f t="shared" si="1"/>
        <v>iShares Treasury Bond 20+ UCITS@COST@@-2.26</v>
      </c>
    </row>
    <row r="74">
      <c r="A74" s="47">
        <f>IFERROR(__xludf.DUMMYFUNCTION("""COMPUTED_VALUE"""),43579.0)</f>
        <v>43579</v>
      </c>
      <c r="B74" t="str">
        <f>IFERROR(__xludf.DUMMYFUNCTION("""COMPUTED_VALUE"""),"Long term US bonds (20-25 year)")</f>
        <v>Long term US bonds (20-25 year)</v>
      </c>
      <c r="C74" s="48" t="str">
        <f>IFERROR(__xludf.DUMMYFUNCTION("""COMPUTED_VALUE"""),"iShares Treasury Bond 20+ UCITS")</f>
        <v>iShares Treasury Bond 20+ UCITS</v>
      </c>
      <c r="D74" s="49" t="str">
        <f>IFERROR(__xludf.DUMMYFUNCTION("""COMPUTED_VALUE"""),"SELL")</f>
        <v>SELL</v>
      </c>
      <c r="E74" s="50">
        <f>IFERROR(__xludf.DUMMYFUNCTION("""COMPUTED_VALUE"""),-320.0)</f>
        <v>-320</v>
      </c>
      <c r="F74" s="51">
        <f>IFERROR(__xludf.DUMMYFUNCTION("""COMPUTED_VALUE"""),4.1356875)</f>
        <v>4.1356875</v>
      </c>
      <c r="G74" s="52">
        <f>IFERROR(__xludf.DUMMYFUNCTION("""COMPUTED_VALUE"""),1323.42)</f>
        <v>1323.42</v>
      </c>
      <c r="H74" s="53" t="str">
        <f t="shared" si="1"/>
        <v>iShares Treasury Bond 20+ UCITS@SELL@-320@1323.42</v>
      </c>
    </row>
    <row r="75">
      <c r="A75" s="47">
        <f>IFERROR(__xludf.DUMMYFUNCTION("""COMPUTED_VALUE"""),43579.0)</f>
        <v>43579</v>
      </c>
      <c r="B75" t="str">
        <f>IFERROR(__xludf.DUMMYFUNCTION("""COMPUTED_VALUE"""),"Stocks")</f>
        <v>Stocks</v>
      </c>
      <c r="C75" s="48" t="str">
        <f>IFERROR(__xludf.DUMMYFUNCTION("""COMPUTED_VALUE"""),"Vanguard S&amp;P 500 UCITS")</f>
        <v>Vanguard S&amp;P 500 UCITS</v>
      </c>
      <c r="D75" s="49" t="str">
        <f>IFERROR(__xludf.DUMMYFUNCTION("""COMPUTED_VALUE"""),"SELL")</f>
        <v>SELL</v>
      </c>
      <c r="E75" s="50">
        <f>IFERROR(__xludf.DUMMYFUNCTION("""COMPUTED_VALUE"""),-23.0)</f>
        <v>-23</v>
      </c>
      <c r="F75" s="51">
        <f>IFERROR(__xludf.DUMMYFUNCTION("""COMPUTED_VALUE"""),49.699999999999996)</f>
        <v>49.7</v>
      </c>
      <c r="G75" s="52">
        <f>IFERROR(__xludf.DUMMYFUNCTION("""COMPUTED_VALUE"""),1143.1)</f>
        <v>1143.1</v>
      </c>
      <c r="H75" s="53" t="str">
        <f t="shared" si="1"/>
        <v>Vanguard S&amp;P 500 UCITS@SELL@-23@1143.1</v>
      </c>
    </row>
    <row r="76">
      <c r="A76" s="47">
        <f>IFERROR(__xludf.DUMMYFUNCTION("""COMPUTED_VALUE"""),43579.0)</f>
        <v>43579</v>
      </c>
      <c r="B76" t="str">
        <f>IFERROR(__xludf.DUMMYFUNCTION("""COMPUTED_VALUE"""),"Intermediate US bonds (7-10 year)")</f>
        <v>Intermediate US bonds (7-10 year)</v>
      </c>
      <c r="C76" s="48" t="str">
        <f>IFERROR(__xludf.DUMMYFUNCTION("""COMPUTED_VALUE"""),"iShares Treasury Bond 7-10 UCITS")</f>
        <v>iShares Treasury Bond 7-10 UCITS</v>
      </c>
      <c r="D76" s="49" t="str">
        <f>IFERROR(__xludf.DUMMYFUNCTION("""COMPUTED_VALUE"""),"SELL")</f>
        <v>SELL</v>
      </c>
      <c r="E76" s="50">
        <f>IFERROR(__xludf.DUMMYFUNCTION("""COMPUTED_VALUE"""),-6.0)</f>
        <v>-6</v>
      </c>
      <c r="F76" s="51">
        <f>IFERROR(__xludf.DUMMYFUNCTION("""COMPUTED_VALUE"""),174.67)</f>
        <v>174.67</v>
      </c>
      <c r="G76" s="52">
        <f>IFERROR(__xludf.DUMMYFUNCTION("""COMPUTED_VALUE"""),1048.02)</f>
        <v>1048.02</v>
      </c>
      <c r="H76" s="53" t="str">
        <f t="shared" si="1"/>
        <v>iShares Treasury Bond 7-10 UCITS@SELL@-6@1048.02</v>
      </c>
    </row>
    <row r="77">
      <c r="A77" s="47">
        <f>IFERROR(__xludf.DUMMYFUNCTION("""COMPUTED_VALUE"""),43579.0)</f>
        <v>43579</v>
      </c>
      <c r="B77" t="str">
        <f>IFERROR(__xludf.DUMMYFUNCTION("""COMPUTED_VALUE"""),"Long term US bonds (20-25 year)")</f>
        <v>Long term US bonds (20-25 year)</v>
      </c>
      <c r="C77" s="48" t="str">
        <f>IFERROR(__xludf.DUMMYFUNCTION("""COMPUTED_VALUE"""),"iShares Treasury Bond 20+ UCITS")</f>
        <v>iShares Treasury Bond 20+ UCITS</v>
      </c>
      <c r="D77" s="49" t="str">
        <f>IFERROR(__xludf.DUMMYFUNCTION("""COMPUTED_VALUE"""),"COST")</f>
        <v>COST</v>
      </c>
      <c r="E77" s="50" t="str">
        <f>IFERROR(__xludf.DUMMYFUNCTION("""COMPUTED_VALUE"""),"")</f>
        <v/>
      </c>
      <c r="F77" s="51" t="str">
        <f>IFERROR(__xludf.DUMMYFUNCTION("""COMPUTED_VALUE"""),"")</f>
        <v/>
      </c>
      <c r="G77" s="52">
        <f>IFERROR(__xludf.DUMMYFUNCTION("""COMPUTED_VALUE"""),-2.23)</f>
        <v>-2.23</v>
      </c>
      <c r="H77" s="53" t="str">
        <f t="shared" si="1"/>
        <v>iShares Treasury Bond 20+ UCITS@COST@@-2.23</v>
      </c>
    </row>
    <row r="78">
      <c r="A78" s="47">
        <f>IFERROR(__xludf.DUMMYFUNCTION("""COMPUTED_VALUE"""),43579.0)</f>
        <v>43579</v>
      </c>
      <c r="B78" t="str">
        <f>IFERROR(__xludf.DUMMYFUNCTION("""COMPUTED_VALUE"""),"Long term US bonds (20-25 year)")</f>
        <v>Long term US bonds (20-25 year)</v>
      </c>
      <c r="C78" s="48" t="str">
        <f>IFERROR(__xludf.DUMMYFUNCTION("""COMPUTED_VALUE"""),"iShares Treasury Bond 20+ UCITS")</f>
        <v>iShares Treasury Bond 20+ UCITS</v>
      </c>
      <c r="D78" s="49" t="str">
        <f>IFERROR(__xludf.DUMMYFUNCTION("""COMPUTED_VALUE"""),"SELL")</f>
        <v>SELL</v>
      </c>
      <c r="E78" s="50">
        <f>IFERROR(__xludf.DUMMYFUNCTION("""COMPUTED_VALUE"""),-285.0)</f>
        <v>-285</v>
      </c>
      <c r="F78" s="51">
        <f>IFERROR(__xludf.DUMMYFUNCTION("""COMPUTED_VALUE"""),4.121789473684211)</f>
        <v>4.121789474</v>
      </c>
      <c r="G78" s="52">
        <f>IFERROR(__xludf.DUMMYFUNCTION("""COMPUTED_VALUE"""),1174.71)</f>
        <v>1174.71</v>
      </c>
      <c r="H78" s="53" t="str">
        <f t="shared" si="1"/>
        <v>iShares Treasury Bond 20+ UCITS@SELL@-285@1174.71</v>
      </c>
    </row>
    <row r="79">
      <c r="A79" s="47" t="str">
        <f>IFERROR(__xludf.DUMMYFUNCTION("""COMPUTED_VALUE"""),"#VALUE!")</f>
        <v>#VALUE!</v>
      </c>
      <c r="B79" t="str">
        <f>IFERROR(__xludf.DUMMYFUNCTION("""COMPUTED_VALUE"""),"")</f>
        <v/>
      </c>
      <c r="C79" s="48" t="str">
        <f>IFERROR(__xludf.DUMMYFUNCTION("""COMPUTED_VALUE"""),"")</f>
        <v/>
      </c>
      <c r="D79" s="49" t="str">
        <f>IFERROR(__xludf.DUMMYFUNCTION("""COMPUTED_VALUE"""),"#VALUE!")</f>
        <v>#VALUE!</v>
      </c>
      <c r="E79" s="50" t="str">
        <f>IFERROR(__xludf.DUMMYFUNCTION("""COMPUTED_VALUE"""),"")</f>
        <v/>
      </c>
      <c r="F79" s="51" t="str">
        <f>IFERROR(__xludf.DUMMYFUNCTION("""COMPUTED_VALUE"""),"")</f>
        <v/>
      </c>
      <c r="G79" s="52">
        <f>IFERROR(__xludf.DUMMYFUNCTION("""COMPUTED_VALUE"""),0.0)</f>
        <v>0</v>
      </c>
      <c r="H79" s="53" t="str">
        <f t="shared" si="1"/>
        <v>#VALUE!</v>
      </c>
    </row>
    <row r="80">
      <c r="A80" s="47">
        <f>IFERROR(__xludf.DUMMYFUNCTION("""COMPUTED_VALUE"""),43579.0)</f>
        <v>43579</v>
      </c>
      <c r="B80" t="str">
        <f>IFERROR(__xludf.DUMMYFUNCTION("""COMPUTED_VALUE"""),"Stocks")</f>
        <v>Stocks</v>
      </c>
      <c r="C80" s="48" t="str">
        <f>IFERROR(__xludf.DUMMYFUNCTION("""COMPUTED_VALUE"""),"Vanguard S&amp;P 500 UCITS")</f>
        <v>Vanguard S&amp;P 500 UCITS</v>
      </c>
      <c r="D80" s="49" t="str">
        <f>IFERROR(__xludf.DUMMYFUNCTION("""COMPUTED_VALUE"""),"SELL")</f>
        <v>SELL</v>
      </c>
      <c r="E80" s="50">
        <f>IFERROR(__xludf.DUMMYFUNCTION("""COMPUTED_VALUE"""),-25.0)</f>
        <v>-25</v>
      </c>
      <c r="F80" s="51">
        <f>IFERROR(__xludf.DUMMYFUNCTION("""COMPUTED_VALUE"""),49.62)</f>
        <v>49.62</v>
      </c>
      <c r="G80" s="52">
        <f>IFERROR(__xludf.DUMMYFUNCTION("""COMPUTED_VALUE"""),1240.5)</f>
        <v>1240.5</v>
      </c>
      <c r="H80" s="53" t="str">
        <f t="shared" si="1"/>
        <v>Vanguard S&amp;P 500 UCITS@SELL@-25@1240.5</v>
      </c>
    </row>
    <row r="81">
      <c r="A81" s="47">
        <f>IFERROR(__xludf.DUMMYFUNCTION("""COMPUTED_VALUE"""),43578.0)</f>
        <v>43578</v>
      </c>
      <c r="B81" t="str">
        <f>IFERROR(__xludf.DUMMYFUNCTION("""COMPUTED_VALUE"""),"Stocks")</f>
        <v>Stocks</v>
      </c>
      <c r="C81" s="48" t="str">
        <f>IFERROR(__xludf.DUMMYFUNCTION("""COMPUTED_VALUE"""),"Vanguard S&amp;P 500 UCITS")</f>
        <v>Vanguard S&amp;P 500 UCITS</v>
      </c>
      <c r="D81" s="49" t="str">
        <f>IFERROR(__xludf.DUMMYFUNCTION("""COMPUTED_VALUE"""),"SELL")</f>
        <v>SELL</v>
      </c>
      <c r="E81" s="50">
        <f>IFERROR(__xludf.DUMMYFUNCTION("""COMPUTED_VALUE"""),-25.0)</f>
        <v>-25</v>
      </c>
      <c r="F81" s="51">
        <f>IFERROR(__xludf.DUMMYFUNCTION("""COMPUTED_VALUE"""),49.2048)</f>
        <v>49.2048</v>
      </c>
      <c r="G81" s="52">
        <f>IFERROR(__xludf.DUMMYFUNCTION("""COMPUTED_VALUE"""),1230.12)</f>
        <v>1230.12</v>
      </c>
      <c r="H81" s="53" t="str">
        <f t="shared" si="1"/>
        <v>Vanguard S&amp;P 500 UCITS@SELL@-25@1230.12</v>
      </c>
    </row>
    <row r="82">
      <c r="A82" s="47">
        <f>IFERROR(__xludf.DUMMYFUNCTION("""COMPUTED_VALUE"""),43578.0)</f>
        <v>43578</v>
      </c>
      <c r="B82" t="str">
        <f>IFERROR(__xludf.DUMMYFUNCTION("""COMPUTED_VALUE"""),"Commodities")</f>
        <v>Commodities</v>
      </c>
      <c r="C82" s="48" t="str">
        <f>IFERROR(__xludf.DUMMYFUNCTION("""COMPUTED_VALUE"""),"ETFS All Commodities ETC")</f>
        <v>ETFS All Commodities ETC</v>
      </c>
      <c r="D82" s="49" t="str">
        <f>IFERROR(__xludf.DUMMYFUNCTION("""COMPUTED_VALUE"""),"SELL")</f>
        <v>SELL</v>
      </c>
      <c r="E82" s="50">
        <f>IFERROR(__xludf.DUMMYFUNCTION("""COMPUTED_VALUE"""),-150.0)</f>
        <v>-150</v>
      </c>
      <c r="F82" s="51">
        <f>IFERROR(__xludf.DUMMYFUNCTION("""COMPUTED_VALUE"""),7.43)</f>
        <v>7.43</v>
      </c>
      <c r="G82" s="52">
        <f>IFERROR(__xludf.DUMMYFUNCTION("""COMPUTED_VALUE"""),1114.5)</f>
        <v>1114.5</v>
      </c>
      <c r="H82" s="53" t="str">
        <f t="shared" si="1"/>
        <v>ETFS All Commodities ETC@SELL@-150@1114.5</v>
      </c>
    </row>
    <row r="83">
      <c r="A83" s="47">
        <f>IFERROR(__xludf.DUMMYFUNCTION("""COMPUTED_VALUE"""),43573.0)</f>
        <v>43573</v>
      </c>
      <c r="B83" t="str">
        <f>IFERROR(__xludf.DUMMYFUNCTION("""COMPUTED_VALUE"""),"Stocks")</f>
        <v>Stocks</v>
      </c>
      <c r="C83" s="48" t="str">
        <f>IFERROR(__xludf.DUMMYFUNCTION("""COMPUTED_VALUE"""),"Vanguard S&amp;P 500 UCITS")</f>
        <v>Vanguard S&amp;P 500 UCITS</v>
      </c>
      <c r="D83" s="49" t="str">
        <f>IFERROR(__xludf.DUMMYFUNCTION("""COMPUTED_VALUE"""),"SELL")</f>
        <v>SELL</v>
      </c>
      <c r="E83" s="50">
        <f>IFERROR(__xludf.DUMMYFUNCTION("""COMPUTED_VALUE"""),-25.0)</f>
        <v>-25</v>
      </c>
      <c r="F83" s="51">
        <f>IFERROR(__xludf.DUMMYFUNCTION("""COMPUTED_VALUE"""),49.03)</f>
        <v>49.03</v>
      </c>
      <c r="G83" s="52">
        <f>IFERROR(__xludf.DUMMYFUNCTION("""COMPUTED_VALUE"""),1225.75)</f>
        <v>1225.75</v>
      </c>
      <c r="H83" s="53" t="str">
        <f t="shared" si="1"/>
        <v>Vanguard S&amp;P 500 UCITS@SELL@-25@1225.75</v>
      </c>
    </row>
    <row r="84">
      <c r="A84" s="47">
        <f>IFERROR(__xludf.DUMMYFUNCTION("""COMPUTED_VALUE"""),43573.0)</f>
        <v>43573</v>
      </c>
      <c r="B84" t="str">
        <f>IFERROR(__xludf.DUMMYFUNCTION("""COMPUTED_VALUE"""),"Long term US bonds (20-25 year)")</f>
        <v>Long term US bonds (20-25 year)</v>
      </c>
      <c r="C84" s="48" t="str">
        <f>IFERROR(__xludf.DUMMYFUNCTION("""COMPUTED_VALUE"""),"iShares Treasury Bond 20+ UCITS")</f>
        <v>iShares Treasury Bond 20+ UCITS</v>
      </c>
      <c r="D84" s="49" t="str">
        <f>IFERROR(__xludf.DUMMYFUNCTION("""COMPUTED_VALUE"""),"COST")</f>
        <v>COST</v>
      </c>
      <c r="E84" s="50" t="str">
        <f>IFERROR(__xludf.DUMMYFUNCTION("""COMPUTED_VALUE"""),"")</f>
        <v/>
      </c>
      <c r="F84" s="51" t="str">
        <f>IFERROR(__xludf.DUMMYFUNCTION("""COMPUTED_VALUE"""),"")</f>
        <v/>
      </c>
      <c r="G84" s="52">
        <f>IFERROR(__xludf.DUMMYFUNCTION("""COMPUTED_VALUE"""),-2.7199999999999998)</f>
        <v>-2.72</v>
      </c>
      <c r="H84" s="53" t="str">
        <f t="shared" si="1"/>
        <v>iShares Treasury Bond 20+ UCITS@COST@@-2.72</v>
      </c>
    </row>
    <row r="85">
      <c r="A85" s="47">
        <f>IFERROR(__xludf.DUMMYFUNCTION("""COMPUTED_VALUE"""),43573.0)</f>
        <v>43573</v>
      </c>
      <c r="B85" t="str">
        <f>IFERROR(__xludf.DUMMYFUNCTION("""COMPUTED_VALUE"""),"Long term US bonds (20-25 year)")</f>
        <v>Long term US bonds (20-25 year)</v>
      </c>
      <c r="C85" s="48" t="str">
        <f>IFERROR(__xludf.DUMMYFUNCTION("""COMPUTED_VALUE"""),"iShares Treasury Bond 20+ UCITS")</f>
        <v>iShares Treasury Bond 20+ UCITS</v>
      </c>
      <c r="D85" s="49" t="str">
        <f>IFERROR(__xludf.DUMMYFUNCTION("""COMPUTED_VALUE"""),"SELL")</f>
        <v>SELL</v>
      </c>
      <c r="E85" s="50">
        <f>IFERROR(__xludf.DUMMYFUNCTION("""COMPUTED_VALUE"""),-879.0)</f>
        <v>-879</v>
      </c>
      <c r="F85" s="51">
        <f>IFERROR(__xludf.DUMMYFUNCTION("""COMPUTED_VALUE"""),4.099203640500568)</f>
        <v>4.099203641</v>
      </c>
      <c r="G85" s="52">
        <f>IFERROR(__xludf.DUMMYFUNCTION("""COMPUTED_VALUE"""),3603.2)</f>
        <v>3603.2</v>
      </c>
      <c r="H85" s="53" t="str">
        <f t="shared" si="1"/>
        <v>iShares Treasury Bond 20+ UCITS@SELL@-879@3603.2</v>
      </c>
    </row>
    <row r="86">
      <c r="A86" s="47">
        <f>IFERROR(__xludf.DUMMYFUNCTION("""COMPUTED_VALUE"""),43571.0)</f>
        <v>43571</v>
      </c>
      <c r="B86" t="str">
        <f>IFERROR(__xludf.DUMMYFUNCTION("""COMPUTED_VALUE"""),"Stocks")</f>
        <v>Stocks</v>
      </c>
      <c r="C86" s="48" t="str">
        <f>IFERROR(__xludf.DUMMYFUNCTION("""COMPUTED_VALUE"""),"Vanguard S&amp;P 500 UCITS")</f>
        <v>Vanguard S&amp;P 500 UCITS</v>
      </c>
      <c r="D86" s="49" t="str">
        <f>IFERROR(__xludf.DUMMYFUNCTION("""COMPUTED_VALUE"""),"SELL")</f>
        <v>SELL</v>
      </c>
      <c r="E86" s="50">
        <f>IFERROR(__xludf.DUMMYFUNCTION("""COMPUTED_VALUE"""),-25.0)</f>
        <v>-25</v>
      </c>
      <c r="F86" s="51">
        <f>IFERROR(__xludf.DUMMYFUNCTION("""COMPUTED_VALUE"""),48.99)</f>
        <v>48.99</v>
      </c>
      <c r="G86" s="52">
        <f>IFERROR(__xludf.DUMMYFUNCTION("""COMPUTED_VALUE"""),1224.75)</f>
        <v>1224.75</v>
      </c>
      <c r="H86" s="53" t="str">
        <f t="shared" si="1"/>
        <v>Vanguard S&amp;P 500 UCITS@SELL@-25@1224.75</v>
      </c>
    </row>
    <row r="87">
      <c r="A87" s="47">
        <f>IFERROR(__xludf.DUMMYFUNCTION("""COMPUTED_VALUE"""),43570.0)</f>
        <v>43570</v>
      </c>
      <c r="B87" t="str">
        <f>IFERROR(__xludf.DUMMYFUNCTION("""COMPUTED_VALUE"""),"Stocks")</f>
        <v>Stocks</v>
      </c>
      <c r="C87" s="48" t="str">
        <f>IFERROR(__xludf.DUMMYFUNCTION("""COMPUTED_VALUE"""),"Vanguard S&amp;P 500 UCITS")</f>
        <v>Vanguard S&amp;P 500 UCITS</v>
      </c>
      <c r="D87" s="49" t="str">
        <f>IFERROR(__xludf.DUMMYFUNCTION("""COMPUTED_VALUE"""),"SELL")</f>
        <v>SELL</v>
      </c>
      <c r="E87" s="50">
        <f>IFERROR(__xludf.DUMMYFUNCTION("""COMPUTED_VALUE"""),-25.0)</f>
        <v>-25</v>
      </c>
      <c r="F87" s="51">
        <f>IFERROR(__xludf.DUMMYFUNCTION("""COMPUTED_VALUE"""),48.7952)</f>
        <v>48.7952</v>
      </c>
      <c r="G87" s="52">
        <f>IFERROR(__xludf.DUMMYFUNCTION("""COMPUTED_VALUE"""),1219.88)</f>
        <v>1219.88</v>
      </c>
      <c r="H87" s="53" t="str">
        <f t="shared" si="1"/>
        <v>Vanguard S&amp;P 500 UCITS@SELL@-25@1219.88</v>
      </c>
    </row>
    <row r="88">
      <c r="A88" s="47">
        <f>IFERROR(__xludf.DUMMYFUNCTION("""COMPUTED_VALUE"""),43567.0)</f>
        <v>43567</v>
      </c>
      <c r="B88" t="str">
        <f>IFERROR(__xludf.DUMMYFUNCTION("""COMPUTED_VALUE"""),"Stocks")</f>
        <v>Stocks</v>
      </c>
      <c r="C88" s="48" t="str">
        <f>IFERROR(__xludf.DUMMYFUNCTION("""COMPUTED_VALUE"""),"Vanguard S&amp;P 500 UCITS")</f>
        <v>Vanguard S&amp;P 500 UCITS</v>
      </c>
      <c r="D88" s="49" t="str">
        <f>IFERROR(__xludf.DUMMYFUNCTION("""COMPUTED_VALUE"""),"SELL")</f>
        <v>SELL</v>
      </c>
      <c r="E88" s="50">
        <f>IFERROR(__xludf.DUMMYFUNCTION("""COMPUTED_VALUE"""),-26.0)</f>
        <v>-26</v>
      </c>
      <c r="F88" s="51">
        <f>IFERROR(__xludf.DUMMYFUNCTION("""COMPUTED_VALUE"""),48.690000000000005)</f>
        <v>48.69</v>
      </c>
      <c r="G88" s="52">
        <f>IFERROR(__xludf.DUMMYFUNCTION("""COMPUTED_VALUE"""),1265.94)</f>
        <v>1265.94</v>
      </c>
      <c r="H88" s="53" t="str">
        <f t="shared" si="1"/>
        <v>Vanguard S&amp;P 500 UCITS@SELL@-26@1265.94</v>
      </c>
    </row>
    <row r="89">
      <c r="A89" s="47">
        <f>IFERROR(__xludf.DUMMYFUNCTION("""COMPUTED_VALUE"""),43567.0)</f>
        <v>43567</v>
      </c>
      <c r="B89" t="str">
        <f>IFERROR(__xludf.DUMMYFUNCTION("""COMPUTED_VALUE"""),"Long term US bonds (20-25 year)")</f>
        <v>Long term US bonds (20-25 year)</v>
      </c>
      <c r="C89" s="48" t="str">
        <f>IFERROR(__xludf.DUMMYFUNCTION("""COMPUTED_VALUE"""),"iShares Treasury Bond 20+ UCITS")</f>
        <v>iShares Treasury Bond 20+ UCITS</v>
      </c>
      <c r="D89" s="49" t="str">
        <f>IFERROR(__xludf.DUMMYFUNCTION("""COMPUTED_VALUE"""),"COST")</f>
        <v>COST</v>
      </c>
      <c r="E89" s="50" t="str">
        <f>IFERROR(__xludf.DUMMYFUNCTION("""COMPUTED_VALUE"""),"")</f>
        <v/>
      </c>
      <c r="F89" s="51" t="str">
        <f>IFERROR(__xludf.DUMMYFUNCTION("""COMPUTED_VALUE"""),"")</f>
        <v/>
      </c>
      <c r="G89" s="52">
        <f>IFERROR(__xludf.DUMMYFUNCTION("""COMPUTED_VALUE"""),-12.469999999999999)</f>
        <v>-12.47</v>
      </c>
      <c r="H89" s="53" t="str">
        <f t="shared" si="1"/>
        <v>iShares Treasury Bond 20+ UCITS@COST@@-12.47</v>
      </c>
    </row>
    <row r="90">
      <c r="A90" s="47">
        <f>IFERROR(__xludf.DUMMYFUNCTION("""COMPUTED_VALUE"""),43567.0)</f>
        <v>43567</v>
      </c>
      <c r="B90" t="str">
        <f>IFERROR(__xludf.DUMMYFUNCTION("""COMPUTED_VALUE"""),"Long term US bonds (20-25 year)")</f>
        <v>Long term US bonds (20-25 year)</v>
      </c>
      <c r="C90" s="48" t="str">
        <f>IFERROR(__xludf.DUMMYFUNCTION("""COMPUTED_VALUE"""),"iShares Treasury Bond 20+ UCITS")</f>
        <v>iShares Treasury Bond 20+ UCITS</v>
      </c>
      <c r="D90" s="49" t="str">
        <f>IFERROR(__xludf.DUMMYFUNCTION("""COMPUTED_VALUE"""),"BUY")</f>
        <v>BUY</v>
      </c>
      <c r="E90" s="50">
        <f>IFERROR(__xludf.DUMMYFUNCTION("""COMPUTED_VALUE"""),12775.0)</f>
        <v>12775</v>
      </c>
      <c r="F90" s="51">
        <f>IFERROR(__xludf.DUMMYFUNCTION("""COMPUTED_VALUE"""),4.097969471624266)</f>
        <v>4.097969472</v>
      </c>
      <c r="G90" s="52">
        <f>IFERROR(__xludf.DUMMYFUNCTION("""COMPUTED_VALUE"""),-52351.56)</f>
        <v>-52351.56</v>
      </c>
      <c r="H90" s="53" t="str">
        <f t="shared" si="1"/>
        <v>iShares Treasury Bond 20+ UCITS@BUY@12775@-52351.56</v>
      </c>
    </row>
    <row r="91">
      <c r="A91" s="47">
        <f>IFERROR(__xludf.DUMMYFUNCTION("""COMPUTED_VALUE"""),43567.0)</f>
        <v>43567</v>
      </c>
      <c r="B91" t="str">
        <f>IFERROR(__xludf.DUMMYFUNCTION("""COMPUTED_VALUE"""),"Long term US bonds (20-25 year)")</f>
        <v>Long term US bonds (20-25 year)</v>
      </c>
      <c r="C91" s="48" t="str">
        <f>IFERROR(__xludf.DUMMYFUNCTION("""COMPUTED_VALUE"""),"iShares Treasury Bond 20+ UCITS")</f>
        <v>iShares Treasury Bond 20+ UCITS</v>
      </c>
      <c r="D91" s="49" t="str">
        <f>IFERROR(__xludf.DUMMYFUNCTION("""COMPUTED_VALUE"""),"COST")</f>
        <v>COST</v>
      </c>
      <c r="E91" s="50" t="str">
        <f>IFERROR(__xludf.DUMMYFUNCTION("""COMPUTED_VALUE"""),"")</f>
        <v/>
      </c>
      <c r="F91" s="51" t="str">
        <f>IFERROR(__xludf.DUMMYFUNCTION("""COMPUTED_VALUE"""),"")</f>
        <v/>
      </c>
      <c r="G91" s="52">
        <f>IFERROR(__xludf.DUMMYFUNCTION("""COMPUTED_VALUE"""),-51.650000000000006)</f>
        <v>-51.65</v>
      </c>
      <c r="H91" s="53" t="str">
        <f t="shared" si="1"/>
        <v>iShares Treasury Bond 20+ UCITS@COST@@-51.65</v>
      </c>
    </row>
    <row r="92">
      <c r="A92" s="47">
        <f>IFERROR(__xludf.DUMMYFUNCTION("""COMPUTED_VALUE"""),43567.0)</f>
        <v>43567</v>
      </c>
      <c r="B92" t="str">
        <f>IFERROR(__xludf.DUMMYFUNCTION("""COMPUTED_VALUE"""),"Long term US bonds (20-25 year)")</f>
        <v>Long term US bonds (20-25 year)</v>
      </c>
      <c r="C92" s="48" t="str">
        <f>IFERROR(__xludf.DUMMYFUNCTION("""COMPUTED_VALUE"""),"iShares Treasury Bond 20+ UCITS")</f>
        <v>iShares Treasury Bond 20+ UCITS</v>
      </c>
      <c r="D92" s="49" t="str">
        <f>IFERROR(__xludf.DUMMYFUNCTION("""COMPUTED_VALUE"""),"BUY")</f>
        <v>BUY</v>
      </c>
      <c r="E92" s="50">
        <f>IFERROR(__xludf.DUMMYFUNCTION("""COMPUTED_VALUE"""),60580.0)</f>
        <v>60580</v>
      </c>
      <c r="F92" s="51">
        <f>IFERROR(__xludf.DUMMYFUNCTION("""COMPUTED_VALUE"""),4.098)</f>
        <v>4.098</v>
      </c>
      <c r="G92" s="52">
        <f>IFERROR(__xludf.DUMMYFUNCTION("""COMPUTED_VALUE"""),-248256.83999999997)</f>
        <v>-248256.84</v>
      </c>
      <c r="H92" s="53" t="str">
        <f t="shared" si="1"/>
        <v>iShares Treasury Bond 20+ UCITS@BUY@60580@-248256.84</v>
      </c>
    </row>
    <row r="93">
      <c r="A93" s="47">
        <f>IFERROR(__xludf.DUMMYFUNCTION("""COMPUTED_VALUE"""),43565.0)</f>
        <v>43565</v>
      </c>
      <c r="B93" t="str">
        <f>IFERROR(__xludf.DUMMYFUNCTION("""COMPUTED_VALUE"""),"Stocks")</f>
        <v>Stocks</v>
      </c>
      <c r="C93" s="48" t="str">
        <f>IFERROR(__xludf.DUMMYFUNCTION("""COMPUTED_VALUE"""),"Vanguard S&amp;P 500 UCITS")</f>
        <v>Vanguard S&amp;P 500 UCITS</v>
      </c>
      <c r="D93" s="49" t="str">
        <f>IFERROR(__xludf.DUMMYFUNCTION("""COMPUTED_VALUE"""),"DIVIDEND")</f>
        <v>DIVIDEND</v>
      </c>
      <c r="E93" s="50" t="str">
        <f>IFERROR(__xludf.DUMMYFUNCTION("""COMPUTED_VALUE"""),"")</f>
        <v/>
      </c>
      <c r="F93" s="51" t="str">
        <f>IFERROR(__xludf.DUMMYFUNCTION("""COMPUTED_VALUE"""),"")</f>
        <v/>
      </c>
      <c r="G93" s="52">
        <f>IFERROR(__xludf.DUMMYFUNCTION("""COMPUTED_VALUE"""),-125.08000000000004)</f>
        <v>-125.08</v>
      </c>
      <c r="H93" s="53" t="str">
        <f t="shared" si="1"/>
        <v>Vanguard S&amp;P 500 UCITS@DIVIDEND@@-125.08</v>
      </c>
    </row>
    <row r="94">
      <c r="A94" s="47">
        <f>IFERROR(__xludf.DUMMYFUNCTION("""COMPUTED_VALUE"""),43565.0)</f>
        <v>43565</v>
      </c>
      <c r="B94" t="str">
        <f>IFERROR(__xludf.DUMMYFUNCTION("""COMPUTED_VALUE"""),"Stocks")</f>
        <v>Stocks</v>
      </c>
      <c r="C94" s="48" t="str">
        <f>IFERROR(__xludf.DUMMYFUNCTION("""COMPUTED_VALUE"""),"Vanguard S&amp;P 500 UCITS")</f>
        <v>Vanguard S&amp;P 500 UCITS</v>
      </c>
      <c r="D94" s="49" t="str">
        <f>IFERROR(__xludf.DUMMYFUNCTION("""COMPUTED_VALUE"""),"DIVIDEND")</f>
        <v>DIVIDEND</v>
      </c>
      <c r="E94" s="50" t="str">
        <f>IFERROR(__xludf.DUMMYFUNCTION("""COMPUTED_VALUE"""),"")</f>
        <v/>
      </c>
      <c r="F94" s="51" t="str">
        <f>IFERROR(__xludf.DUMMYFUNCTION("""COMPUTED_VALUE"""),"")</f>
        <v/>
      </c>
      <c r="G94" s="52">
        <f>IFERROR(__xludf.DUMMYFUNCTION("""COMPUTED_VALUE"""),1098.21)</f>
        <v>1098.21</v>
      </c>
      <c r="H94" s="53" t="str">
        <f t="shared" si="1"/>
        <v>Vanguard S&amp;P 500 UCITS@DIVIDEND@@1098.21</v>
      </c>
    </row>
    <row r="95">
      <c r="A95" s="47">
        <f>IFERROR(__xludf.DUMMYFUNCTION("""COMPUTED_VALUE"""),43560.0)</f>
        <v>43560</v>
      </c>
      <c r="B95" t="str">
        <f>IFERROR(__xludf.DUMMYFUNCTION("""COMPUTED_VALUE"""),"Stocks")</f>
        <v>Stocks</v>
      </c>
      <c r="C95" s="48" t="str">
        <f>IFERROR(__xludf.DUMMYFUNCTION("""COMPUTED_VALUE"""),"Vanguard S&amp;P 500 UCITS")</f>
        <v>Vanguard S&amp;P 500 UCITS</v>
      </c>
      <c r="D95" s="49" t="str">
        <f>IFERROR(__xludf.DUMMYFUNCTION("""COMPUTED_VALUE"""),"SELL")</f>
        <v>SELL</v>
      </c>
      <c r="E95" s="50">
        <f>IFERROR(__xludf.DUMMYFUNCTION("""COMPUTED_VALUE"""),-30.0)</f>
        <v>-30</v>
      </c>
      <c r="F95" s="51">
        <f>IFERROR(__xludf.DUMMYFUNCTION("""COMPUTED_VALUE"""),48.75)</f>
        <v>48.75</v>
      </c>
      <c r="G95" s="52">
        <f>IFERROR(__xludf.DUMMYFUNCTION("""COMPUTED_VALUE"""),1462.5)</f>
        <v>1462.5</v>
      </c>
      <c r="H95" s="53" t="str">
        <f t="shared" si="1"/>
        <v>Vanguard S&amp;P 500 UCITS@SELL@-30@1462.5</v>
      </c>
    </row>
    <row r="96">
      <c r="A96" s="47">
        <f>IFERROR(__xludf.DUMMYFUNCTION("""COMPUTED_VALUE"""),43560.0)</f>
        <v>43560</v>
      </c>
      <c r="B96" t="str">
        <f>IFERROR(__xludf.DUMMYFUNCTION("""COMPUTED_VALUE"""),"Commodities")</f>
        <v>Commodities</v>
      </c>
      <c r="C96" s="48" t="str">
        <f>IFERROR(__xludf.DUMMYFUNCTION("""COMPUTED_VALUE"""),"ETFS All Commodities ETC")</f>
        <v>ETFS All Commodities ETC</v>
      </c>
      <c r="D96" s="49" t="str">
        <f>IFERROR(__xludf.DUMMYFUNCTION("""COMPUTED_VALUE"""),"SELL")</f>
        <v>SELL</v>
      </c>
      <c r="E96" s="50">
        <f>IFERROR(__xludf.DUMMYFUNCTION("""COMPUTED_VALUE"""),-155.0)</f>
        <v>-155</v>
      </c>
      <c r="F96" s="51">
        <f>IFERROR(__xludf.DUMMYFUNCTION("""COMPUTED_VALUE"""),7.44)</f>
        <v>7.44</v>
      </c>
      <c r="G96" s="52">
        <f>IFERROR(__xludf.DUMMYFUNCTION("""COMPUTED_VALUE"""),1153.2)</f>
        <v>1153.2</v>
      </c>
      <c r="H96" s="53" t="str">
        <f t="shared" si="1"/>
        <v>ETFS All Commodities ETC@SELL@-155@1153.2</v>
      </c>
    </row>
    <row r="97">
      <c r="A97" s="47">
        <f>IFERROR(__xludf.DUMMYFUNCTION("""COMPUTED_VALUE"""),43557.0)</f>
        <v>43557</v>
      </c>
      <c r="B97" t="str">
        <f>IFERROR(__xludf.DUMMYFUNCTION("""COMPUTED_VALUE"""),"Commodities")</f>
        <v>Commodities</v>
      </c>
      <c r="C97" s="48" t="str">
        <f>IFERROR(__xludf.DUMMYFUNCTION("""COMPUTED_VALUE"""),"ETFS All Commodities ETC")</f>
        <v>ETFS All Commodities ETC</v>
      </c>
      <c r="D97" s="49" t="str">
        <f>IFERROR(__xludf.DUMMYFUNCTION("""COMPUTED_VALUE"""),"SELL")</f>
        <v>SELL</v>
      </c>
      <c r="E97" s="50">
        <f>IFERROR(__xludf.DUMMYFUNCTION("""COMPUTED_VALUE"""),-145.0)</f>
        <v>-145</v>
      </c>
      <c r="F97" s="51">
        <f>IFERROR(__xludf.DUMMYFUNCTION("""COMPUTED_VALUE"""),7.432)</f>
        <v>7.432</v>
      </c>
      <c r="G97" s="52">
        <f>IFERROR(__xludf.DUMMYFUNCTION("""COMPUTED_VALUE"""),1077.64)</f>
        <v>1077.64</v>
      </c>
      <c r="H97" s="53" t="str">
        <f t="shared" si="1"/>
        <v>ETFS All Commodities ETC@SELL@-145@1077.64</v>
      </c>
    </row>
    <row r="98">
      <c r="A98" s="47">
        <f>IFERROR(__xludf.DUMMYFUNCTION("""COMPUTED_VALUE"""),43557.0)</f>
        <v>43557</v>
      </c>
      <c r="B98" t="str">
        <f>IFERROR(__xludf.DUMMYFUNCTION("""COMPUTED_VALUE"""),"Commodities")</f>
        <v>Commodities</v>
      </c>
      <c r="C98" s="48" t="str">
        <f>IFERROR(__xludf.DUMMYFUNCTION("""COMPUTED_VALUE"""),"ETFS All Commodities ETC")</f>
        <v>ETFS All Commodities ETC</v>
      </c>
      <c r="D98" s="49" t="str">
        <f>IFERROR(__xludf.DUMMYFUNCTION("""COMPUTED_VALUE"""),"SELL")</f>
        <v>SELL</v>
      </c>
      <c r="E98" s="50">
        <f>IFERROR(__xludf.DUMMYFUNCTION("""COMPUTED_VALUE"""),-220.0)</f>
        <v>-220</v>
      </c>
      <c r="F98" s="51">
        <f>IFERROR(__xludf.DUMMYFUNCTION("""COMPUTED_VALUE"""),7.420000000000001)</f>
        <v>7.42</v>
      </c>
      <c r="G98" s="52">
        <f>IFERROR(__xludf.DUMMYFUNCTION("""COMPUTED_VALUE"""),1632.4)</f>
        <v>1632.4</v>
      </c>
      <c r="H98" s="53" t="str">
        <f t="shared" si="1"/>
        <v>ETFS All Commodities ETC@SELL@-220@1632.4</v>
      </c>
    </row>
    <row r="99">
      <c r="A99" s="47">
        <f>IFERROR(__xludf.DUMMYFUNCTION("""COMPUTED_VALUE"""),43557.0)</f>
        <v>43557</v>
      </c>
      <c r="B99" t="str">
        <f>IFERROR(__xludf.DUMMYFUNCTION("""COMPUTED_VALUE"""),"Commodities")</f>
        <v>Commodities</v>
      </c>
      <c r="C99" s="48" t="str">
        <f>IFERROR(__xludf.DUMMYFUNCTION("""COMPUTED_VALUE"""),"ETFS All Commodities ETC")</f>
        <v>ETFS All Commodities ETC</v>
      </c>
      <c r="D99" s="49" t="str">
        <f>IFERROR(__xludf.DUMMYFUNCTION("""COMPUTED_VALUE"""),"SELL")</f>
        <v>SELL</v>
      </c>
      <c r="E99" s="50">
        <f>IFERROR(__xludf.DUMMYFUNCTION("""COMPUTED_VALUE"""),-200.0)</f>
        <v>-200</v>
      </c>
      <c r="F99" s="51">
        <f>IFERROR(__xludf.DUMMYFUNCTION("""COMPUTED_VALUE"""),7.42)</f>
        <v>7.42</v>
      </c>
      <c r="G99" s="52">
        <f>IFERROR(__xludf.DUMMYFUNCTION("""COMPUTED_VALUE"""),1484.0)</f>
        <v>1484</v>
      </c>
      <c r="H99" s="53" t="str">
        <f t="shared" si="1"/>
        <v>ETFS All Commodities ETC@SELL@-200@1484</v>
      </c>
    </row>
    <row r="100">
      <c r="A100" s="47">
        <f>IFERROR(__xludf.DUMMYFUNCTION("""COMPUTED_VALUE"""),43555.0)</f>
        <v>43555</v>
      </c>
      <c r="B100" t="str">
        <f>IFERROR(__xludf.DUMMYFUNCTION("""COMPUTED_VALUE"""),"")</f>
        <v/>
      </c>
      <c r="C100" s="48" t="str">
        <f>IFERROR(__xludf.DUMMYFUNCTION("""COMPUTED_VALUE"""),"")</f>
        <v/>
      </c>
      <c r="D100" s="49" t="str">
        <f>IFERROR(__xludf.DUMMYFUNCTION("""COMPUTED_VALUE"""),"COST")</f>
        <v>COST</v>
      </c>
      <c r="E100" s="50" t="str">
        <f>IFERROR(__xludf.DUMMYFUNCTION("""COMPUTED_VALUE"""),"")</f>
        <v/>
      </c>
      <c r="F100" s="51" t="str">
        <f>IFERROR(__xludf.DUMMYFUNCTION("""COMPUTED_VALUE"""),"")</f>
        <v/>
      </c>
      <c r="G100" s="52">
        <f>IFERROR(__xludf.DUMMYFUNCTION("""COMPUTED_VALUE"""),-618.92)</f>
        <v>-618.92</v>
      </c>
      <c r="H100" s="53" t="str">
        <f t="shared" si="1"/>
        <v>@COST@@-618.92</v>
      </c>
    </row>
    <row r="101">
      <c r="A101" s="47">
        <f>IFERROR(__xludf.DUMMYFUNCTION("""COMPUTED_VALUE"""),43556.0)</f>
        <v>43556</v>
      </c>
      <c r="B101" t="str">
        <f>IFERROR(__xludf.DUMMYFUNCTION("""COMPUTED_VALUE"""),"")</f>
        <v/>
      </c>
      <c r="C101" s="48" t="str">
        <f>IFERROR(__xludf.DUMMYFUNCTION("""COMPUTED_VALUE"""),"")</f>
        <v/>
      </c>
      <c r="D101" s="49" t="str">
        <f>IFERROR(__xludf.DUMMYFUNCTION("""COMPUTED_VALUE"""),"APPROVISIONNEMENT")</f>
        <v>APPROVISIONNEMENT</v>
      </c>
      <c r="E101" s="50" t="str">
        <f>IFERROR(__xludf.DUMMYFUNCTION("""COMPUTED_VALUE"""),"")</f>
        <v/>
      </c>
      <c r="F101" s="51" t="str">
        <f>IFERROR(__xludf.DUMMYFUNCTION("""COMPUTED_VALUE"""),"")</f>
        <v/>
      </c>
      <c r="G101" s="52">
        <f>IFERROR(__xludf.DUMMYFUNCTION("""COMPUTED_VALUE"""),-500.0)</f>
        <v>-500</v>
      </c>
      <c r="H101" s="53" t="str">
        <f t="shared" si="1"/>
        <v>@APPROVISIONNEMENT@@-500</v>
      </c>
    </row>
    <row r="102">
      <c r="A102" s="47">
        <f>IFERROR(__xludf.DUMMYFUNCTION("""COMPUTED_VALUE"""),43549.0)</f>
        <v>43549</v>
      </c>
      <c r="B102" t="str">
        <f>IFERROR(__xludf.DUMMYFUNCTION("""COMPUTED_VALUE"""),"Long term US bonds (20-25 year)")</f>
        <v>Long term US bonds (20-25 year)</v>
      </c>
      <c r="C102" s="48" t="str">
        <f>IFERROR(__xludf.DUMMYFUNCTION("""COMPUTED_VALUE"""),"iShares Treasury Bond 20+ UCITS")</f>
        <v>iShares Treasury Bond 20+ UCITS</v>
      </c>
      <c r="D102" s="49" t="str">
        <f>IFERROR(__xludf.DUMMYFUNCTION("""COMPUTED_VALUE"""),"SELL")</f>
        <v>SELL</v>
      </c>
      <c r="E102" s="50">
        <f>IFERROR(__xludf.DUMMYFUNCTION("""COMPUTED_VALUE"""),-13195.0)</f>
        <v>-13195</v>
      </c>
      <c r="F102" s="51">
        <f>IFERROR(__xludf.DUMMYFUNCTION("""COMPUTED_VALUE"""),4.113221674876847)</f>
        <v>4.113221675</v>
      </c>
      <c r="G102" s="52">
        <f>IFERROR(__xludf.DUMMYFUNCTION("""COMPUTED_VALUE"""),54273.96)</f>
        <v>54273.96</v>
      </c>
      <c r="H102" s="53" t="str">
        <f t="shared" si="1"/>
        <v>iShares Treasury Bond 20+ UCITS@SELL@-13195@54273.96</v>
      </c>
    </row>
    <row r="103">
      <c r="A103" s="47">
        <f>IFERROR(__xludf.DUMMYFUNCTION("""COMPUTED_VALUE"""),43549.0)</f>
        <v>43549</v>
      </c>
      <c r="B103" t="str">
        <f>IFERROR(__xludf.DUMMYFUNCTION("""COMPUTED_VALUE"""),"Long term US bonds (20-25 year)")</f>
        <v>Long term US bonds (20-25 year)</v>
      </c>
      <c r="C103" s="48" t="str">
        <f>IFERROR(__xludf.DUMMYFUNCTION("""COMPUTED_VALUE"""),"iShares Treasury Bond 20+ UCITS")</f>
        <v>iShares Treasury Bond 20+ UCITS</v>
      </c>
      <c r="D103" s="49" t="str">
        <f>IFERROR(__xludf.DUMMYFUNCTION("""COMPUTED_VALUE"""),"COST")</f>
        <v>COST</v>
      </c>
      <c r="E103" s="50" t="str">
        <f>IFERROR(__xludf.DUMMYFUNCTION("""COMPUTED_VALUE"""),"")</f>
        <v/>
      </c>
      <c r="F103" s="51" t="str">
        <f>IFERROR(__xludf.DUMMYFUNCTION("""COMPUTED_VALUE"""),"")</f>
        <v/>
      </c>
      <c r="G103" s="52">
        <f>IFERROR(__xludf.DUMMYFUNCTION("""COMPUTED_VALUE"""),-12.88)</f>
        <v>-12.88</v>
      </c>
      <c r="H103" s="53" t="str">
        <f t="shared" si="1"/>
        <v>iShares Treasury Bond 20+ UCITS@COST@@-12.88</v>
      </c>
    </row>
    <row r="104">
      <c r="A104" s="47">
        <f>IFERROR(__xludf.DUMMYFUNCTION("""COMPUTED_VALUE"""),43549.0)</f>
        <v>43549</v>
      </c>
      <c r="B104" t="str">
        <f>IFERROR(__xludf.DUMMYFUNCTION("""COMPUTED_VALUE"""),"Long term US bonds (20-25 year)")</f>
        <v>Long term US bonds (20-25 year)</v>
      </c>
      <c r="C104" s="48" t="str">
        <f>IFERROR(__xludf.DUMMYFUNCTION("""COMPUTED_VALUE"""),"iShares Treasury Bond 20+ UCITS")</f>
        <v>iShares Treasury Bond 20+ UCITS</v>
      </c>
      <c r="D104" s="49" t="str">
        <f>IFERROR(__xludf.DUMMYFUNCTION("""COMPUTED_VALUE"""),"SELL")</f>
        <v>SELL</v>
      </c>
      <c r="E104" s="50">
        <f>IFERROR(__xludf.DUMMYFUNCTION("""COMPUTED_VALUE"""),-60000.0)</f>
        <v>-60000</v>
      </c>
      <c r="F104" s="51">
        <f>IFERROR(__xludf.DUMMYFUNCTION("""COMPUTED_VALUE"""),4.112904166666667)</f>
        <v>4.112904167</v>
      </c>
      <c r="G104" s="52">
        <f>IFERROR(__xludf.DUMMYFUNCTION("""COMPUTED_VALUE"""),246774.25)</f>
        <v>246774.25</v>
      </c>
      <c r="H104" s="53" t="str">
        <f t="shared" si="1"/>
        <v>iShares Treasury Bond 20+ UCITS@SELL@-60000@246774.25</v>
      </c>
    </row>
    <row r="105">
      <c r="A105" s="47">
        <f>IFERROR(__xludf.DUMMYFUNCTION("""COMPUTED_VALUE"""),43549.0)</f>
        <v>43549</v>
      </c>
      <c r="B105" t="str">
        <f>IFERROR(__xludf.DUMMYFUNCTION("""COMPUTED_VALUE"""),"Long term US bonds (20-25 year)")</f>
        <v>Long term US bonds (20-25 year)</v>
      </c>
      <c r="C105" s="48" t="str">
        <f>IFERROR(__xludf.DUMMYFUNCTION("""COMPUTED_VALUE"""),"iShares Treasury Bond 20+ UCITS")</f>
        <v>iShares Treasury Bond 20+ UCITS</v>
      </c>
      <c r="D105" s="49" t="str">
        <f>IFERROR(__xludf.DUMMYFUNCTION("""COMPUTED_VALUE"""),"COST")</f>
        <v>COST</v>
      </c>
      <c r="E105" s="50" t="str">
        <f>IFERROR(__xludf.DUMMYFUNCTION("""COMPUTED_VALUE"""),"")</f>
        <v/>
      </c>
      <c r="F105" s="51" t="str">
        <f>IFERROR(__xludf.DUMMYFUNCTION("""COMPUTED_VALUE"""),"")</f>
        <v/>
      </c>
      <c r="G105" s="52">
        <f>IFERROR(__xludf.DUMMYFUNCTION("""COMPUTED_VALUE"""),-51.46)</f>
        <v>-51.46</v>
      </c>
      <c r="H105" s="53" t="str">
        <f t="shared" si="1"/>
        <v>iShares Treasury Bond 20+ UCITS@COST@@-51.46</v>
      </c>
    </row>
    <row r="106">
      <c r="A106" s="47">
        <f>IFERROR(__xludf.DUMMYFUNCTION("""COMPUTED_VALUE"""),43543.0)</f>
        <v>43543</v>
      </c>
      <c r="B106" t="str">
        <f>IFERROR(__xludf.DUMMYFUNCTION("""COMPUTED_VALUE"""),"Stocks")</f>
        <v>Stocks</v>
      </c>
      <c r="C106" s="48" t="str">
        <f>IFERROR(__xludf.DUMMYFUNCTION("""COMPUTED_VALUE"""),"Vanguard S&amp;P 500 UCITS")</f>
        <v>Vanguard S&amp;P 500 UCITS</v>
      </c>
      <c r="D106" s="49" t="str">
        <f>IFERROR(__xludf.DUMMYFUNCTION("""COMPUTED_VALUE"""),"SELL")</f>
        <v>SELL</v>
      </c>
      <c r="E106" s="50">
        <f>IFERROR(__xludf.DUMMYFUNCTION("""COMPUTED_VALUE"""),-22.0)</f>
        <v>-22</v>
      </c>
      <c r="F106" s="51">
        <f>IFERROR(__xludf.DUMMYFUNCTION("""COMPUTED_VALUE"""),47.68)</f>
        <v>47.68</v>
      </c>
      <c r="G106" s="52">
        <f>IFERROR(__xludf.DUMMYFUNCTION("""COMPUTED_VALUE"""),1048.96)</f>
        <v>1048.96</v>
      </c>
      <c r="H106" s="53" t="str">
        <f t="shared" si="1"/>
        <v>Vanguard S&amp;P 500 UCITS@SELL@-22@1048.96</v>
      </c>
    </row>
    <row r="107">
      <c r="A107" s="47">
        <f>IFERROR(__xludf.DUMMYFUNCTION("""COMPUTED_VALUE"""),43532.0)</f>
        <v>43532</v>
      </c>
      <c r="B107" t="str">
        <f>IFERROR(__xludf.DUMMYFUNCTION("""COMPUTED_VALUE"""),"Commodities")</f>
        <v>Commodities</v>
      </c>
      <c r="C107" s="48" t="str">
        <f>IFERROR(__xludf.DUMMYFUNCTION("""COMPUTED_VALUE"""),"ETFS All Commodities ETC")</f>
        <v>ETFS All Commodities ETC</v>
      </c>
      <c r="D107" s="49" t="str">
        <f>IFERROR(__xludf.DUMMYFUNCTION("""COMPUTED_VALUE"""),"BUY")</f>
        <v>BUY</v>
      </c>
      <c r="E107" s="50">
        <f>IFERROR(__xludf.DUMMYFUNCTION("""COMPUTED_VALUE"""),185.0)</f>
        <v>185</v>
      </c>
      <c r="F107" s="51">
        <f>IFERROR(__xludf.DUMMYFUNCTION("""COMPUTED_VALUE"""),7.298000000000001)</f>
        <v>7.298</v>
      </c>
      <c r="G107" s="52">
        <f>IFERROR(__xludf.DUMMYFUNCTION("""COMPUTED_VALUE"""),-1350.13)</f>
        <v>-1350.13</v>
      </c>
      <c r="H107" s="53" t="str">
        <f t="shared" si="1"/>
        <v>ETFS All Commodities ETC@BUY@185@-1350.13</v>
      </c>
    </row>
    <row r="108">
      <c r="A108" s="47">
        <f>IFERROR(__xludf.DUMMYFUNCTION("""COMPUTED_VALUE"""),43532.0)</f>
        <v>43532</v>
      </c>
      <c r="B108" t="str">
        <f>IFERROR(__xludf.DUMMYFUNCTION("""COMPUTED_VALUE"""),"Intermediate US bonds (7-10 year)")</f>
        <v>Intermediate US bonds (7-10 year)</v>
      </c>
      <c r="C108" s="48" t="str">
        <f>IFERROR(__xludf.DUMMYFUNCTION("""COMPUTED_VALUE"""),"iShares Treasury Bond 7-10 UCITS")</f>
        <v>iShares Treasury Bond 7-10 UCITS</v>
      </c>
      <c r="D108" s="49" t="str">
        <f>IFERROR(__xludf.DUMMYFUNCTION("""COMPUTED_VALUE"""),"SELL")</f>
        <v>SELL</v>
      </c>
      <c r="E108" s="50">
        <f>IFERROR(__xludf.DUMMYFUNCTION("""COMPUTED_VALUE"""),-8.0)</f>
        <v>-8</v>
      </c>
      <c r="F108" s="51">
        <f>IFERROR(__xludf.DUMMYFUNCTION("""COMPUTED_VALUE"""),172.6)</f>
        <v>172.6</v>
      </c>
      <c r="G108" s="52">
        <f>IFERROR(__xludf.DUMMYFUNCTION("""COMPUTED_VALUE"""),1380.8)</f>
        <v>1380.8</v>
      </c>
      <c r="H108" s="53" t="str">
        <f t="shared" si="1"/>
        <v>iShares Treasury Bond 7-10 UCITS@SELL@-8@1380.8</v>
      </c>
    </row>
    <row r="109">
      <c r="A109" s="47">
        <f>IFERROR(__xludf.DUMMYFUNCTION("""COMPUTED_VALUE"""),43532.0)</f>
        <v>43532</v>
      </c>
      <c r="B109" t="str">
        <f>IFERROR(__xludf.DUMMYFUNCTION("""COMPUTED_VALUE"""),"Long term US bonds (20-25 year)")</f>
        <v>Long term US bonds (20-25 year)</v>
      </c>
      <c r="C109" s="48" t="str">
        <f>IFERROR(__xludf.DUMMYFUNCTION("""COMPUTED_VALUE"""),"iShares Treasury Bond 20+ UCITS")</f>
        <v>iShares Treasury Bond 20+ UCITS</v>
      </c>
      <c r="D109" s="49" t="str">
        <f>IFERROR(__xludf.DUMMYFUNCTION("""COMPUTED_VALUE"""),"SELL")</f>
        <v>SELL</v>
      </c>
      <c r="E109" s="50">
        <f>IFERROR(__xludf.DUMMYFUNCTION("""COMPUTED_VALUE"""),-900.0)</f>
        <v>-900</v>
      </c>
      <c r="F109" s="51">
        <f>IFERROR(__xludf.DUMMYFUNCTION("""COMPUTED_VALUE"""),4.054455555555556)</f>
        <v>4.054455556</v>
      </c>
      <c r="G109" s="52">
        <f>IFERROR(__xludf.DUMMYFUNCTION("""COMPUTED_VALUE"""),3649.01)</f>
        <v>3649.01</v>
      </c>
      <c r="H109" s="53" t="str">
        <f t="shared" si="1"/>
        <v>iShares Treasury Bond 20+ UCITS@SELL@-900@3649.01</v>
      </c>
    </row>
    <row r="110">
      <c r="A110" s="47">
        <f>IFERROR(__xludf.DUMMYFUNCTION("""COMPUTED_VALUE"""),43532.0)</f>
        <v>43532</v>
      </c>
      <c r="B110" t="str">
        <f>IFERROR(__xludf.DUMMYFUNCTION("""COMPUTED_VALUE"""),"Long term US bonds (20-25 year)")</f>
        <v>Long term US bonds (20-25 year)</v>
      </c>
      <c r="C110" s="48" t="str">
        <f>IFERROR(__xludf.DUMMYFUNCTION("""COMPUTED_VALUE"""),"iShares Treasury Bond 20+ UCITS")</f>
        <v>iShares Treasury Bond 20+ UCITS</v>
      </c>
      <c r="D110" s="49" t="str">
        <f>IFERROR(__xludf.DUMMYFUNCTION("""COMPUTED_VALUE"""),"COST")</f>
        <v>COST</v>
      </c>
      <c r="E110" s="50" t="str">
        <f>IFERROR(__xludf.DUMMYFUNCTION("""COMPUTED_VALUE"""),"")</f>
        <v/>
      </c>
      <c r="F110" s="51" t="str">
        <f>IFERROR(__xludf.DUMMYFUNCTION("""COMPUTED_VALUE"""),"")</f>
        <v/>
      </c>
      <c r="G110" s="52">
        <f>IFERROR(__xludf.DUMMYFUNCTION("""COMPUTED_VALUE"""),-2.73)</f>
        <v>-2.73</v>
      </c>
      <c r="H110" s="53" t="str">
        <f t="shared" si="1"/>
        <v>iShares Treasury Bond 20+ UCITS@COST@@-2.73</v>
      </c>
    </row>
    <row r="111">
      <c r="A111" s="47">
        <f>IFERROR(__xludf.DUMMYFUNCTION("""COMPUTED_VALUE"""),43531.0)</f>
        <v>43531</v>
      </c>
      <c r="B111" t="str">
        <f>IFERROR(__xludf.DUMMYFUNCTION("""COMPUTED_VALUE"""),"Long term US bonds (20-25 year)")</f>
        <v>Long term US bonds (20-25 year)</v>
      </c>
      <c r="C111" s="48" t="str">
        <f>IFERROR(__xludf.DUMMYFUNCTION("""COMPUTED_VALUE"""),"iShares Treasury Bond 20+ UCITS")</f>
        <v>iShares Treasury Bond 20+ UCITS</v>
      </c>
      <c r="D111" s="49" t="str">
        <f>IFERROR(__xludf.DUMMYFUNCTION("""COMPUTED_VALUE"""),"SELL")</f>
        <v>SELL</v>
      </c>
      <c r="E111" s="50">
        <f>IFERROR(__xludf.DUMMYFUNCTION("""COMPUTED_VALUE"""),-10.0)</f>
        <v>-10</v>
      </c>
      <c r="F111" s="51">
        <f>IFERROR(__xludf.DUMMYFUNCTION("""COMPUTED_VALUE"""),4.0409999999999995)</f>
        <v>4.041</v>
      </c>
      <c r="G111" s="52">
        <f>IFERROR(__xludf.DUMMYFUNCTION("""COMPUTED_VALUE"""),40.41)</f>
        <v>40.41</v>
      </c>
      <c r="H111" s="53" t="str">
        <f t="shared" si="1"/>
        <v>iShares Treasury Bond 20+ UCITS@SELL@-10@40.41</v>
      </c>
    </row>
    <row r="112">
      <c r="A112" s="47">
        <f>IFERROR(__xludf.DUMMYFUNCTION("""COMPUTED_VALUE"""),43531.0)</f>
        <v>43531</v>
      </c>
      <c r="B112" t="str">
        <f>IFERROR(__xludf.DUMMYFUNCTION("""COMPUTED_VALUE"""),"Long term US bonds (20-25 year)")</f>
        <v>Long term US bonds (20-25 year)</v>
      </c>
      <c r="C112" s="48" t="str">
        <f>IFERROR(__xludf.DUMMYFUNCTION("""COMPUTED_VALUE"""),"iShares Treasury Bond 20+ UCITS")</f>
        <v>iShares Treasury Bond 20+ UCITS</v>
      </c>
      <c r="D112" s="49" t="str">
        <f>IFERROR(__xludf.DUMMYFUNCTION("""COMPUTED_VALUE"""),"COST")</f>
        <v>COST</v>
      </c>
      <c r="E112" s="50" t="str">
        <f>IFERROR(__xludf.DUMMYFUNCTION("""COMPUTED_VALUE"""),"")</f>
        <v/>
      </c>
      <c r="F112" s="51" t="str">
        <f>IFERROR(__xludf.DUMMYFUNCTION("""COMPUTED_VALUE"""),"")</f>
        <v/>
      </c>
      <c r="G112" s="52">
        <f>IFERROR(__xludf.DUMMYFUNCTION("""COMPUTED_VALUE"""),-2.01)</f>
        <v>-2.01</v>
      </c>
      <c r="H112" s="53" t="str">
        <f t="shared" si="1"/>
        <v>iShares Treasury Bond 20+ UCITS@COST@@-2.01</v>
      </c>
    </row>
    <row r="113">
      <c r="A113" s="47">
        <f>IFERROR(__xludf.DUMMYFUNCTION("""COMPUTED_VALUE"""),43530.0)</f>
        <v>43530</v>
      </c>
      <c r="B113" t="str">
        <f>IFERROR(__xludf.DUMMYFUNCTION("""COMPUTED_VALUE"""),"Intermediate US bonds (7-10 year)")</f>
        <v>Intermediate US bonds (7-10 year)</v>
      </c>
      <c r="C113" s="48" t="str">
        <f>IFERROR(__xludf.DUMMYFUNCTION("""COMPUTED_VALUE"""),"iShares Treasury Bond 7-10 UCITS")</f>
        <v>iShares Treasury Bond 7-10 UCITS</v>
      </c>
      <c r="D113" s="49" t="str">
        <f>IFERROR(__xludf.DUMMYFUNCTION("""COMPUTED_VALUE"""),"SELL")</f>
        <v>SELL</v>
      </c>
      <c r="E113" s="50">
        <f>IFERROR(__xludf.DUMMYFUNCTION("""COMPUTED_VALUE"""),-6.0)</f>
        <v>-6</v>
      </c>
      <c r="F113" s="51">
        <f>IFERROR(__xludf.DUMMYFUNCTION("""COMPUTED_VALUE"""),169.9)</f>
        <v>169.9</v>
      </c>
      <c r="G113" s="52">
        <f>IFERROR(__xludf.DUMMYFUNCTION("""COMPUTED_VALUE"""),1019.4)</f>
        <v>1019.4</v>
      </c>
      <c r="H113" s="53" t="str">
        <f t="shared" si="1"/>
        <v>iShares Treasury Bond 7-10 UCITS@SELL@-6@1019.4</v>
      </c>
    </row>
    <row r="114">
      <c r="A114" s="47">
        <f>IFERROR(__xludf.DUMMYFUNCTION("""COMPUTED_VALUE"""),43529.0)</f>
        <v>43529</v>
      </c>
      <c r="B114" t="str">
        <f>IFERROR(__xludf.DUMMYFUNCTION("""COMPUTED_VALUE"""),"")</f>
        <v/>
      </c>
      <c r="C114" s="48" t="str">
        <f>IFERROR(__xludf.DUMMYFUNCTION("""COMPUTED_VALUE"""),"")</f>
        <v/>
      </c>
      <c r="D114" s="49" t="str">
        <f>IFERROR(__xludf.DUMMYFUNCTION("""COMPUTED_VALUE"""),"APPROVISIONNEMENT")</f>
        <v>APPROVISIONNEMENT</v>
      </c>
      <c r="E114" s="50" t="str">
        <f>IFERROR(__xludf.DUMMYFUNCTION("""COMPUTED_VALUE"""),"")</f>
        <v/>
      </c>
      <c r="F114" s="51" t="str">
        <f>IFERROR(__xludf.DUMMYFUNCTION("""COMPUTED_VALUE"""),"")</f>
        <v/>
      </c>
      <c r="G114" s="52">
        <f>IFERROR(__xludf.DUMMYFUNCTION("""COMPUTED_VALUE"""),-700.0)</f>
        <v>-700</v>
      </c>
      <c r="H114" s="53" t="str">
        <f t="shared" si="1"/>
        <v>@APPROVISIONNEMENT@@-700</v>
      </c>
    </row>
    <row r="115">
      <c r="A115" s="47">
        <f>IFERROR(__xludf.DUMMYFUNCTION("""COMPUTED_VALUE"""),43524.0)</f>
        <v>43524</v>
      </c>
      <c r="B115" t="str">
        <f>IFERROR(__xludf.DUMMYFUNCTION("""COMPUTED_VALUE"""),"")</f>
        <v/>
      </c>
      <c r="C115" s="48" t="str">
        <f>IFERROR(__xludf.DUMMYFUNCTION("""COMPUTED_VALUE"""),"")</f>
        <v/>
      </c>
      <c r="D115" s="49" t="str">
        <f>IFERROR(__xludf.DUMMYFUNCTION("""COMPUTED_VALUE"""),"COST")</f>
        <v>COST</v>
      </c>
      <c r="E115" s="50" t="str">
        <f>IFERROR(__xludf.DUMMYFUNCTION("""COMPUTED_VALUE"""),"")</f>
        <v/>
      </c>
      <c r="F115" s="51" t="str">
        <f>IFERROR(__xludf.DUMMYFUNCTION("""COMPUTED_VALUE"""),"")</f>
        <v/>
      </c>
      <c r="G115" s="52">
        <f>IFERROR(__xludf.DUMMYFUNCTION("""COMPUTED_VALUE"""),-534.72)</f>
        <v>-534.72</v>
      </c>
      <c r="H115" s="53" t="str">
        <f t="shared" si="1"/>
        <v>@COST@@-534.72</v>
      </c>
    </row>
    <row r="116">
      <c r="A116" s="47">
        <f>IFERROR(__xludf.DUMMYFUNCTION("""COMPUTED_VALUE"""),43528.0)</f>
        <v>43528</v>
      </c>
      <c r="B116" t="str">
        <f>IFERROR(__xludf.DUMMYFUNCTION("""COMPUTED_VALUE"""),"Stocks")</f>
        <v>Stocks</v>
      </c>
      <c r="C116" s="48" t="str">
        <f>IFERROR(__xludf.DUMMYFUNCTION("""COMPUTED_VALUE"""),"Vanguard S&amp;P 500 UCITS")</f>
        <v>Vanguard S&amp;P 500 UCITS</v>
      </c>
      <c r="D116" s="49" t="str">
        <f>IFERROR(__xludf.DUMMYFUNCTION("""COMPUTED_VALUE"""),"SELL")</f>
        <v>SELL</v>
      </c>
      <c r="E116" s="50">
        <f>IFERROR(__xludf.DUMMYFUNCTION("""COMPUTED_VALUE"""),-75.0)</f>
        <v>-75</v>
      </c>
      <c r="F116" s="51">
        <f>IFERROR(__xludf.DUMMYFUNCTION("""COMPUTED_VALUE"""),47.18)</f>
        <v>47.18</v>
      </c>
      <c r="G116" s="52">
        <f>IFERROR(__xludf.DUMMYFUNCTION("""COMPUTED_VALUE"""),3538.5)</f>
        <v>3538.5</v>
      </c>
      <c r="H116" s="53" t="str">
        <f t="shared" si="1"/>
        <v>Vanguard S&amp;P 500 UCITS@SELL@-75@3538.5</v>
      </c>
    </row>
    <row r="117">
      <c r="A117" s="47"/>
      <c r="C117" s="48"/>
      <c r="D117" s="49"/>
      <c r="E117" s="50"/>
      <c r="F117" s="51"/>
      <c r="G117" s="52"/>
      <c r="H117" s="53" t="str">
        <f t="shared" si="1"/>
        <v/>
      </c>
    </row>
    <row r="118">
      <c r="A118" s="47"/>
      <c r="C118" s="48"/>
      <c r="D118" s="49"/>
      <c r="E118" s="50"/>
      <c r="F118" s="51"/>
      <c r="G118" s="52"/>
      <c r="H118" s="53" t="str">
        <f t="shared" si="1"/>
        <v/>
      </c>
    </row>
    <row r="119">
      <c r="A119" s="47"/>
      <c r="C119" s="48"/>
      <c r="D119" s="49"/>
      <c r="E119" s="50"/>
      <c r="F119" s="51"/>
      <c r="G119" s="52"/>
      <c r="H119" s="53" t="str">
        <f t="shared" si="1"/>
        <v/>
      </c>
    </row>
    <row r="120">
      <c r="A120" s="47"/>
      <c r="C120" s="48"/>
      <c r="D120" s="49"/>
      <c r="E120" s="50"/>
      <c r="F120" s="51"/>
      <c r="G120" s="52"/>
      <c r="H120" s="53" t="str">
        <f t="shared" si="1"/>
        <v/>
      </c>
    </row>
    <row r="121">
      <c r="A121" s="47"/>
      <c r="C121" s="48"/>
      <c r="D121" s="49"/>
      <c r="E121" s="50"/>
      <c r="F121" s="51"/>
      <c r="G121" s="52"/>
      <c r="H121" s="53" t="str">
        <f t="shared" si="1"/>
        <v/>
      </c>
    </row>
    <row r="122">
      <c r="A122" s="47"/>
      <c r="C122" s="48"/>
      <c r="D122" s="49"/>
      <c r="E122" s="50"/>
      <c r="F122" s="51"/>
      <c r="G122" s="52"/>
      <c r="H122" s="53" t="str">
        <f t="shared" si="1"/>
        <v/>
      </c>
    </row>
    <row r="123">
      <c r="A123" s="47"/>
      <c r="C123" s="48"/>
      <c r="D123" s="49"/>
      <c r="E123" s="50"/>
      <c r="F123" s="51"/>
      <c r="G123" s="52"/>
      <c r="H123" s="53" t="str">
        <f t="shared" si="1"/>
        <v/>
      </c>
    </row>
    <row r="124">
      <c r="A124" s="47"/>
      <c r="C124" s="48"/>
      <c r="D124" s="49"/>
      <c r="E124" s="50"/>
      <c r="F124" s="51"/>
      <c r="G124" s="52"/>
      <c r="H124" s="53" t="str">
        <f t="shared" si="1"/>
        <v/>
      </c>
    </row>
    <row r="125">
      <c r="A125" s="47"/>
      <c r="C125" s="48"/>
      <c r="D125" s="49"/>
      <c r="E125" s="50"/>
      <c r="F125" s="51"/>
      <c r="G125" s="52"/>
      <c r="H125" s="53" t="str">
        <f t="shared" si="1"/>
        <v/>
      </c>
    </row>
    <row r="126">
      <c r="A126" s="47"/>
      <c r="C126" s="48"/>
      <c r="D126" s="49"/>
      <c r="E126" s="50"/>
      <c r="F126" s="51"/>
      <c r="G126" s="52"/>
      <c r="H126" s="53" t="str">
        <f t="shared" si="1"/>
        <v/>
      </c>
    </row>
    <row r="127">
      <c r="A127" s="47"/>
      <c r="C127" s="48"/>
      <c r="D127" s="49"/>
      <c r="E127" s="50"/>
      <c r="F127" s="51"/>
      <c r="G127" s="52"/>
      <c r="H127" s="53" t="str">
        <f t="shared" si="1"/>
        <v/>
      </c>
    </row>
    <row r="128">
      <c r="A128" s="47"/>
      <c r="C128" s="48"/>
      <c r="D128" s="49"/>
      <c r="E128" s="50"/>
      <c r="F128" s="51"/>
      <c r="G128" s="52"/>
      <c r="H128" s="53" t="str">
        <f t="shared" si="1"/>
        <v/>
      </c>
    </row>
    <row r="129">
      <c r="A129" s="47"/>
      <c r="C129" s="48"/>
      <c r="D129" s="49"/>
      <c r="E129" s="50"/>
      <c r="F129" s="51"/>
      <c r="G129" s="52"/>
      <c r="H129" s="53" t="str">
        <f t="shared" si="1"/>
        <v/>
      </c>
    </row>
    <row r="130">
      <c r="A130" s="47"/>
      <c r="C130" s="48"/>
      <c r="D130" s="49"/>
      <c r="E130" s="50"/>
      <c r="F130" s="51"/>
      <c r="G130" s="52"/>
      <c r="H130" s="53" t="str">
        <f t="shared" si="1"/>
        <v/>
      </c>
    </row>
    <row r="131">
      <c r="A131" s="47"/>
      <c r="C131" s="48"/>
      <c r="D131" s="49"/>
      <c r="E131" s="50"/>
      <c r="F131" s="51"/>
      <c r="G131" s="52"/>
      <c r="H131" s="53" t="str">
        <f t="shared" si="1"/>
        <v/>
      </c>
    </row>
    <row r="132">
      <c r="A132" s="47"/>
      <c r="C132" s="48"/>
      <c r="D132" s="49"/>
      <c r="E132" s="50"/>
      <c r="F132" s="51"/>
      <c r="G132" s="52"/>
      <c r="H132" s="53" t="str">
        <f t="shared" si="1"/>
        <v/>
      </c>
    </row>
    <row r="133">
      <c r="A133" s="47"/>
      <c r="C133" s="48"/>
      <c r="D133" s="49"/>
      <c r="E133" s="50"/>
      <c r="F133" s="51"/>
      <c r="G133" s="52"/>
      <c r="H133" s="53" t="str">
        <f t="shared" si="1"/>
        <v/>
      </c>
    </row>
    <row r="134">
      <c r="A134" s="47"/>
      <c r="C134" s="48"/>
      <c r="D134" s="49"/>
      <c r="E134" s="50"/>
      <c r="F134" s="51"/>
      <c r="G134" s="52"/>
      <c r="H134" s="53" t="str">
        <f t="shared" si="1"/>
        <v/>
      </c>
    </row>
    <row r="135">
      <c r="A135" s="47"/>
      <c r="C135" s="48"/>
      <c r="D135" s="49"/>
      <c r="E135" s="50"/>
      <c r="F135" s="51"/>
      <c r="G135" s="52"/>
      <c r="H135" s="53" t="str">
        <f t="shared" si="1"/>
        <v/>
      </c>
    </row>
    <row r="136">
      <c r="A136" s="47"/>
      <c r="C136" s="48"/>
      <c r="D136" s="49"/>
      <c r="E136" s="50"/>
      <c r="F136" s="51"/>
      <c r="G136" s="52"/>
      <c r="H136" s="53" t="str">
        <f t="shared" si="1"/>
        <v/>
      </c>
    </row>
    <row r="137">
      <c r="A137" s="47"/>
      <c r="C137" s="48"/>
      <c r="D137" s="49"/>
      <c r="E137" s="50"/>
      <c r="F137" s="51"/>
      <c r="G137" s="52"/>
      <c r="H137" s="53" t="str">
        <f t="shared" si="1"/>
        <v/>
      </c>
    </row>
    <row r="138">
      <c r="A138" s="47"/>
      <c r="C138" s="48"/>
      <c r="D138" s="49"/>
      <c r="E138" s="50"/>
      <c r="F138" s="51"/>
      <c r="G138" s="52"/>
      <c r="H138" s="53" t="str">
        <f t="shared" si="1"/>
        <v/>
      </c>
    </row>
    <row r="139">
      <c r="A139" s="47"/>
      <c r="C139" s="48"/>
      <c r="D139" s="49"/>
      <c r="E139" s="50"/>
      <c r="F139" s="51"/>
      <c r="G139" s="52"/>
      <c r="H139" s="53" t="str">
        <f t="shared" si="1"/>
        <v/>
      </c>
    </row>
    <row r="140">
      <c r="A140" s="47"/>
      <c r="C140" s="48"/>
      <c r="D140" s="49"/>
      <c r="E140" s="50"/>
      <c r="F140" s="51"/>
      <c r="G140" s="52"/>
      <c r="H140" s="53" t="str">
        <f t="shared" si="1"/>
        <v/>
      </c>
    </row>
    <row r="141">
      <c r="A141" s="47"/>
      <c r="C141" s="48"/>
      <c r="D141" s="49"/>
      <c r="E141" s="50"/>
      <c r="F141" s="51"/>
      <c r="G141" s="52"/>
      <c r="H141" s="53" t="str">
        <f t="shared" si="1"/>
        <v/>
      </c>
    </row>
    <row r="142">
      <c r="A142" s="47"/>
      <c r="C142" s="48"/>
      <c r="D142" s="49"/>
      <c r="E142" s="50"/>
      <c r="F142" s="51"/>
      <c r="G142" s="52"/>
      <c r="H142" s="53" t="str">
        <f t="shared" si="1"/>
        <v/>
      </c>
    </row>
    <row r="143">
      <c r="A143" s="47"/>
      <c r="C143" s="48"/>
      <c r="D143" s="49"/>
      <c r="E143" s="50"/>
      <c r="F143" s="51"/>
      <c r="G143" s="52"/>
      <c r="H143" s="53" t="str">
        <f t="shared" si="1"/>
        <v/>
      </c>
    </row>
    <row r="144">
      <c r="A144" s="47"/>
      <c r="C144" s="48"/>
      <c r="D144" s="49"/>
      <c r="E144" s="50"/>
      <c r="F144" s="51"/>
      <c r="G144" s="52"/>
      <c r="H144" s="53" t="str">
        <f t="shared" si="1"/>
        <v/>
      </c>
    </row>
    <row r="145">
      <c r="A145" s="47"/>
      <c r="C145" s="48"/>
      <c r="D145" s="49"/>
      <c r="E145" s="50"/>
      <c r="F145" s="51"/>
      <c r="G145" s="52"/>
      <c r="H145" s="53" t="str">
        <f t="shared" si="1"/>
        <v/>
      </c>
    </row>
    <row r="146">
      <c r="A146" s="47"/>
      <c r="C146" s="48"/>
      <c r="D146" s="49"/>
      <c r="E146" s="50"/>
      <c r="F146" s="51"/>
      <c r="G146" s="52"/>
      <c r="H146" s="53" t="str">
        <f t="shared" si="1"/>
        <v/>
      </c>
    </row>
    <row r="147">
      <c r="A147" s="47"/>
      <c r="C147" s="48"/>
      <c r="D147" s="49"/>
      <c r="E147" s="50"/>
      <c r="F147" s="51"/>
      <c r="G147" s="52"/>
      <c r="H147" s="53" t="str">
        <f t="shared" si="1"/>
        <v/>
      </c>
    </row>
    <row r="148">
      <c r="A148" s="47"/>
      <c r="C148" s="48"/>
      <c r="D148" s="49"/>
      <c r="E148" s="50"/>
      <c r="F148" s="51"/>
      <c r="G148" s="52"/>
      <c r="H148" s="53" t="str">
        <f t="shared" si="1"/>
        <v/>
      </c>
    </row>
    <row r="149">
      <c r="A149" s="47"/>
      <c r="C149" s="48"/>
      <c r="D149" s="49"/>
      <c r="E149" s="50"/>
      <c r="F149" s="51"/>
      <c r="G149" s="52"/>
      <c r="H149" s="53" t="str">
        <f t="shared" si="1"/>
        <v/>
      </c>
    </row>
    <row r="150">
      <c r="A150" s="47"/>
      <c r="C150" s="48"/>
      <c r="D150" s="49"/>
      <c r="E150" s="50"/>
      <c r="F150" s="51"/>
      <c r="G150" s="52"/>
      <c r="H150" s="53" t="str">
        <f t="shared" si="1"/>
        <v/>
      </c>
    </row>
    <row r="151">
      <c r="A151" s="47"/>
      <c r="C151" s="48"/>
      <c r="D151" s="49"/>
      <c r="E151" s="50"/>
      <c r="F151" s="51"/>
      <c r="G151" s="52"/>
      <c r="H151" s="53" t="str">
        <f t="shared" si="1"/>
        <v/>
      </c>
    </row>
    <row r="152">
      <c r="A152" s="47"/>
      <c r="C152" s="48"/>
      <c r="D152" s="49"/>
      <c r="E152" s="50"/>
      <c r="F152" s="51"/>
      <c r="G152" s="52"/>
      <c r="H152" s="53" t="str">
        <f t="shared" si="1"/>
        <v/>
      </c>
    </row>
    <row r="153">
      <c r="A153" s="47"/>
      <c r="C153" s="48"/>
      <c r="D153" s="49"/>
      <c r="E153" s="50"/>
      <c r="F153" s="51"/>
      <c r="G153" s="52"/>
      <c r="H153" s="53" t="str">
        <f t="shared" si="1"/>
        <v/>
      </c>
    </row>
    <row r="154">
      <c r="A154" s="47"/>
      <c r="C154" s="48"/>
      <c r="D154" s="49"/>
      <c r="E154" s="50"/>
      <c r="F154" s="51"/>
      <c r="G154" s="52"/>
      <c r="H154" s="53" t="str">
        <f t="shared" si="1"/>
        <v/>
      </c>
    </row>
    <row r="155">
      <c r="A155" s="47"/>
      <c r="C155" s="48"/>
      <c r="D155" s="49"/>
      <c r="E155" s="50"/>
      <c r="F155" s="51"/>
      <c r="G155" s="52"/>
      <c r="H155" s="53" t="str">
        <f t="shared" si="1"/>
        <v/>
      </c>
    </row>
    <row r="156">
      <c r="A156" s="47"/>
      <c r="C156" s="48"/>
      <c r="D156" s="49"/>
      <c r="E156" s="50"/>
      <c r="F156" s="51"/>
      <c r="G156" s="52"/>
      <c r="H156" s="53" t="str">
        <f t="shared" si="1"/>
        <v/>
      </c>
    </row>
    <row r="157">
      <c r="A157" s="47"/>
      <c r="C157" s="48"/>
      <c r="D157" s="49"/>
      <c r="E157" s="50"/>
      <c r="F157" s="51"/>
      <c r="G157" s="52"/>
      <c r="H157" s="53" t="str">
        <f t="shared" si="1"/>
        <v/>
      </c>
    </row>
    <row r="158">
      <c r="A158" s="47"/>
      <c r="C158" s="48"/>
      <c r="D158" s="49"/>
      <c r="E158" s="50"/>
      <c r="F158" s="51"/>
      <c r="G158" s="52"/>
      <c r="H158" s="53" t="str">
        <f t="shared" si="1"/>
        <v/>
      </c>
    </row>
    <row r="159">
      <c r="A159" s="47"/>
      <c r="C159" s="48"/>
      <c r="D159" s="49"/>
      <c r="E159" s="50"/>
      <c r="F159" s="51"/>
      <c r="G159" s="52"/>
      <c r="H159" s="53" t="str">
        <f t="shared" si="1"/>
        <v/>
      </c>
    </row>
    <row r="160">
      <c r="A160" s="47"/>
      <c r="C160" s="48"/>
      <c r="D160" s="49"/>
      <c r="E160" s="50"/>
      <c r="F160" s="51"/>
      <c r="G160" s="52"/>
      <c r="H160" s="53" t="str">
        <f t="shared" si="1"/>
        <v/>
      </c>
    </row>
    <row r="161">
      <c r="A161" s="47"/>
      <c r="C161" s="48"/>
      <c r="D161" s="49"/>
      <c r="E161" s="50"/>
      <c r="F161" s="51"/>
      <c r="G161" s="52"/>
      <c r="H161" s="53" t="str">
        <f t="shared" si="1"/>
        <v/>
      </c>
    </row>
    <row r="162">
      <c r="A162" s="47"/>
      <c r="C162" s="48"/>
      <c r="D162" s="49"/>
      <c r="E162" s="50"/>
      <c r="F162" s="51"/>
      <c r="G162" s="52"/>
      <c r="H162" s="53" t="str">
        <f t="shared" si="1"/>
        <v/>
      </c>
    </row>
    <row r="163">
      <c r="A163" s="47"/>
      <c r="C163" s="48"/>
      <c r="D163" s="49"/>
      <c r="E163" s="50"/>
      <c r="F163" s="51"/>
      <c r="G163" s="52"/>
      <c r="H163" s="53" t="str">
        <f t="shared" si="1"/>
        <v/>
      </c>
    </row>
    <row r="164">
      <c r="A164" s="47"/>
      <c r="C164" s="48"/>
      <c r="D164" s="49"/>
      <c r="E164" s="50"/>
      <c r="F164" s="51"/>
      <c r="G164" s="52"/>
      <c r="H164" s="53" t="str">
        <f t="shared" si="1"/>
        <v/>
      </c>
    </row>
    <row r="165">
      <c r="A165" s="47"/>
      <c r="C165" s="48"/>
      <c r="D165" s="49"/>
      <c r="E165" s="50"/>
      <c r="F165" s="51"/>
      <c r="G165" s="52"/>
      <c r="H165" s="53" t="str">
        <f t="shared" si="1"/>
        <v/>
      </c>
    </row>
    <row r="166">
      <c r="A166" s="47"/>
      <c r="C166" s="48"/>
      <c r="D166" s="49"/>
      <c r="E166" s="50"/>
      <c r="F166" s="51"/>
      <c r="G166" s="52"/>
      <c r="H166" s="53" t="str">
        <f t="shared" si="1"/>
        <v/>
      </c>
    </row>
    <row r="167">
      <c r="A167" s="47"/>
      <c r="C167" s="48"/>
      <c r="D167" s="49"/>
      <c r="E167" s="50"/>
      <c r="F167" s="51"/>
      <c r="G167" s="52"/>
      <c r="H167" s="53" t="str">
        <f t="shared" si="1"/>
        <v/>
      </c>
    </row>
    <row r="168">
      <c r="A168" s="47"/>
      <c r="C168" s="48"/>
      <c r="D168" s="49"/>
      <c r="E168" s="50"/>
      <c r="F168" s="51"/>
      <c r="G168" s="52"/>
      <c r="H168" s="53" t="str">
        <f t="shared" si="1"/>
        <v/>
      </c>
    </row>
    <row r="169">
      <c r="A169" s="47"/>
      <c r="C169" s="48"/>
      <c r="D169" s="49"/>
      <c r="E169" s="50"/>
      <c r="F169" s="51"/>
      <c r="G169" s="52"/>
      <c r="H169" s="53" t="str">
        <f t="shared" si="1"/>
        <v/>
      </c>
    </row>
    <row r="170">
      <c r="A170" s="47"/>
      <c r="C170" s="48"/>
      <c r="D170" s="49"/>
      <c r="E170" s="50"/>
      <c r="F170" s="51"/>
      <c r="G170" s="52"/>
      <c r="H170" s="53" t="str">
        <f t="shared" si="1"/>
        <v/>
      </c>
    </row>
    <row r="171">
      <c r="A171" s="47"/>
      <c r="C171" s="48"/>
      <c r="D171" s="49"/>
      <c r="E171" s="50"/>
      <c r="F171" s="51"/>
      <c r="G171" s="52"/>
      <c r="H171" s="53" t="str">
        <f t="shared" si="1"/>
        <v/>
      </c>
    </row>
    <row r="172">
      <c r="A172" s="47"/>
      <c r="C172" s="48"/>
      <c r="D172" s="49"/>
      <c r="E172" s="50"/>
      <c r="F172" s="51"/>
      <c r="G172" s="52"/>
      <c r="H172" s="53" t="str">
        <f t="shared" si="1"/>
        <v/>
      </c>
    </row>
    <row r="173">
      <c r="A173" s="47"/>
      <c r="C173" s="48"/>
      <c r="D173" s="49"/>
      <c r="E173" s="50"/>
      <c r="F173" s="51"/>
      <c r="G173" s="52"/>
      <c r="H173" s="53" t="str">
        <f t="shared" si="1"/>
        <v/>
      </c>
    </row>
    <row r="174">
      <c r="A174" s="47"/>
      <c r="C174" s="48"/>
      <c r="D174" s="49"/>
      <c r="E174" s="50"/>
      <c r="F174" s="51"/>
      <c r="G174" s="52"/>
      <c r="H174" s="53" t="str">
        <f t="shared" si="1"/>
        <v/>
      </c>
    </row>
    <row r="175">
      <c r="A175" s="47"/>
      <c r="C175" s="48"/>
      <c r="D175" s="49"/>
      <c r="E175" s="50"/>
      <c r="F175" s="51"/>
      <c r="G175" s="52"/>
      <c r="H175" s="53" t="str">
        <f t="shared" si="1"/>
        <v/>
      </c>
    </row>
    <row r="176">
      <c r="A176" s="47"/>
      <c r="C176" s="48"/>
      <c r="D176" s="49"/>
      <c r="E176" s="50"/>
      <c r="F176" s="51"/>
      <c r="G176" s="52"/>
      <c r="H176" s="53" t="str">
        <f t="shared" si="1"/>
        <v/>
      </c>
    </row>
    <row r="177">
      <c r="A177" s="47"/>
      <c r="C177" s="48"/>
      <c r="D177" s="49"/>
      <c r="E177" s="50"/>
      <c r="F177" s="51"/>
      <c r="G177" s="52"/>
      <c r="H177" s="53" t="str">
        <f t="shared" si="1"/>
        <v/>
      </c>
    </row>
    <row r="178">
      <c r="A178" s="47"/>
      <c r="C178" s="48"/>
      <c r="D178" s="49"/>
      <c r="E178" s="50"/>
      <c r="F178" s="51"/>
      <c r="G178" s="52"/>
      <c r="H178" s="53" t="str">
        <f t="shared" si="1"/>
        <v/>
      </c>
    </row>
    <row r="179">
      <c r="A179" s="47"/>
      <c r="C179" s="48"/>
      <c r="D179" s="49"/>
      <c r="E179" s="50"/>
      <c r="F179" s="51"/>
      <c r="G179" s="52"/>
      <c r="H179" s="53" t="str">
        <f t="shared" si="1"/>
        <v/>
      </c>
    </row>
    <row r="180">
      <c r="A180" s="47"/>
      <c r="C180" s="48"/>
      <c r="D180" s="49"/>
      <c r="E180" s="50"/>
      <c r="F180" s="51"/>
      <c r="G180" s="52"/>
      <c r="H180" s="53" t="str">
        <f t="shared" si="1"/>
        <v/>
      </c>
    </row>
    <row r="181">
      <c r="A181" s="47"/>
      <c r="C181" s="48"/>
      <c r="D181" s="49"/>
      <c r="E181" s="50"/>
      <c r="F181" s="51"/>
      <c r="G181" s="52"/>
      <c r="H181" s="53" t="str">
        <f t="shared" si="1"/>
        <v/>
      </c>
    </row>
    <row r="182">
      <c r="A182" s="47"/>
      <c r="C182" s="48"/>
      <c r="D182" s="49"/>
      <c r="E182" s="50"/>
      <c r="F182" s="51"/>
      <c r="G182" s="52"/>
      <c r="H182" s="53" t="str">
        <f t="shared" si="1"/>
        <v/>
      </c>
    </row>
    <row r="183">
      <c r="A183" s="47"/>
      <c r="C183" s="48"/>
      <c r="D183" s="49"/>
      <c r="E183" s="50"/>
      <c r="F183" s="51"/>
      <c r="G183" s="52"/>
      <c r="H183" s="53" t="str">
        <f t="shared" si="1"/>
        <v/>
      </c>
    </row>
    <row r="184">
      <c r="A184" s="47"/>
      <c r="C184" s="48"/>
      <c r="D184" s="49"/>
      <c r="E184" s="50"/>
      <c r="F184" s="51"/>
      <c r="G184" s="52"/>
      <c r="H184" s="53" t="str">
        <f t="shared" si="1"/>
        <v/>
      </c>
    </row>
    <row r="185">
      <c r="A185" s="47"/>
      <c r="C185" s="48"/>
      <c r="D185" s="49"/>
      <c r="E185" s="50"/>
      <c r="F185" s="51"/>
      <c r="G185" s="52"/>
      <c r="H185" s="53" t="str">
        <f t="shared" si="1"/>
        <v/>
      </c>
    </row>
    <row r="186">
      <c r="A186" s="47"/>
      <c r="C186" s="48"/>
      <c r="D186" s="49"/>
      <c r="E186" s="50"/>
      <c r="F186" s="51"/>
      <c r="G186" s="52"/>
      <c r="H186" s="53" t="str">
        <f t="shared" si="1"/>
        <v/>
      </c>
    </row>
    <row r="187">
      <c r="A187" s="47"/>
      <c r="C187" s="48"/>
      <c r="D187" s="49"/>
      <c r="E187" s="50"/>
      <c r="F187" s="51"/>
      <c r="G187" s="52"/>
      <c r="H187" s="53" t="str">
        <f t="shared" si="1"/>
        <v/>
      </c>
    </row>
    <row r="188">
      <c r="A188" s="47"/>
      <c r="C188" s="48"/>
      <c r="D188" s="49"/>
      <c r="E188" s="50"/>
      <c r="F188" s="51"/>
      <c r="G188" s="52"/>
      <c r="H188" s="53" t="str">
        <f t="shared" si="1"/>
        <v/>
      </c>
    </row>
    <row r="189">
      <c r="A189" s="47"/>
      <c r="C189" s="48"/>
      <c r="D189" s="49"/>
      <c r="E189" s="50"/>
      <c r="F189" s="51"/>
      <c r="G189" s="52"/>
      <c r="H189" s="53" t="str">
        <f t="shared" si="1"/>
        <v/>
      </c>
    </row>
    <row r="190">
      <c r="A190" s="47"/>
      <c r="C190" s="48"/>
      <c r="D190" s="49"/>
      <c r="E190" s="50"/>
      <c r="F190" s="51"/>
      <c r="G190" s="52"/>
      <c r="H190" s="53" t="str">
        <f t="shared" si="1"/>
        <v/>
      </c>
    </row>
    <row r="191">
      <c r="A191" s="47"/>
      <c r="C191" s="48"/>
      <c r="D191" s="49"/>
      <c r="E191" s="50"/>
      <c r="F191" s="51"/>
      <c r="G191" s="52"/>
      <c r="H191" s="53" t="str">
        <f t="shared" si="1"/>
        <v/>
      </c>
    </row>
    <row r="192">
      <c r="A192" s="47"/>
      <c r="C192" s="48"/>
      <c r="D192" s="49"/>
      <c r="E192" s="50"/>
      <c r="F192" s="51"/>
      <c r="G192" s="52"/>
      <c r="H192" s="53" t="str">
        <f t="shared" si="1"/>
        <v/>
      </c>
    </row>
    <row r="193">
      <c r="A193" s="47"/>
      <c r="C193" s="48"/>
      <c r="D193" s="49"/>
      <c r="E193" s="50"/>
      <c r="F193" s="51"/>
      <c r="G193" s="52"/>
      <c r="H193" s="53" t="str">
        <f t="shared" si="1"/>
        <v/>
      </c>
    </row>
    <row r="194">
      <c r="A194" s="47"/>
      <c r="C194" s="48"/>
      <c r="D194" s="49"/>
      <c r="E194" s="50"/>
      <c r="F194" s="51"/>
      <c r="G194" s="52"/>
      <c r="H194" s="53" t="str">
        <f t="shared" si="1"/>
        <v/>
      </c>
    </row>
    <row r="195">
      <c r="A195" s="47"/>
      <c r="C195" s="48"/>
      <c r="D195" s="49"/>
      <c r="E195" s="50"/>
      <c r="F195" s="51"/>
      <c r="G195" s="52"/>
      <c r="H195" s="53" t="str">
        <f t="shared" si="1"/>
        <v/>
      </c>
    </row>
    <row r="196">
      <c r="A196" s="47"/>
      <c r="C196" s="48"/>
      <c r="D196" s="49"/>
      <c r="E196" s="50"/>
      <c r="F196" s="51"/>
      <c r="G196" s="52"/>
      <c r="H196" s="53" t="str">
        <f t="shared" si="1"/>
        <v/>
      </c>
    </row>
    <row r="197">
      <c r="A197" s="47"/>
      <c r="C197" s="48"/>
      <c r="D197" s="49"/>
      <c r="E197" s="50"/>
      <c r="F197" s="51"/>
      <c r="G197" s="52"/>
      <c r="H197" s="53" t="str">
        <f t="shared" si="1"/>
        <v/>
      </c>
    </row>
    <row r="198">
      <c r="A198" s="47"/>
      <c r="C198" s="48"/>
      <c r="D198" s="49"/>
      <c r="E198" s="50"/>
      <c r="F198" s="51"/>
      <c r="G198" s="52"/>
      <c r="H198" s="53" t="str">
        <f t="shared" si="1"/>
        <v/>
      </c>
    </row>
    <row r="199">
      <c r="A199" s="47"/>
      <c r="C199" s="48"/>
      <c r="D199" s="49"/>
      <c r="E199" s="50"/>
      <c r="F199" s="51"/>
      <c r="G199" s="52"/>
      <c r="H199" s="53" t="str">
        <f t="shared" si="1"/>
        <v/>
      </c>
    </row>
    <row r="200">
      <c r="A200" s="47"/>
      <c r="C200" s="48"/>
      <c r="D200" s="49"/>
      <c r="E200" s="50"/>
      <c r="F200" s="51"/>
      <c r="G200" s="52"/>
      <c r="H200" s="53" t="str">
        <f t="shared" si="1"/>
        <v/>
      </c>
    </row>
    <row r="201">
      <c r="A201" s="47"/>
      <c r="C201" s="48"/>
      <c r="D201" s="49"/>
      <c r="E201" s="50"/>
      <c r="F201" s="51"/>
      <c r="G201" s="52"/>
      <c r="H201" s="53" t="str">
        <f t="shared" si="1"/>
        <v/>
      </c>
    </row>
    <row r="202">
      <c r="A202" s="47"/>
      <c r="C202" s="48"/>
      <c r="D202" s="49"/>
      <c r="E202" s="50"/>
      <c r="F202" s="51"/>
      <c r="G202" s="52"/>
      <c r="H202" s="53" t="str">
        <f t="shared" si="1"/>
        <v/>
      </c>
    </row>
    <row r="203">
      <c r="A203" s="47"/>
      <c r="C203" s="48"/>
      <c r="D203" s="49"/>
      <c r="E203" s="50"/>
      <c r="F203" s="51"/>
      <c r="G203" s="52"/>
      <c r="H203" s="53" t="str">
        <f t="shared" si="1"/>
        <v/>
      </c>
    </row>
    <row r="204">
      <c r="A204" s="47"/>
      <c r="C204" s="48"/>
      <c r="D204" s="49"/>
      <c r="E204" s="50"/>
      <c r="F204" s="51"/>
      <c r="G204" s="52"/>
      <c r="H204" s="53" t="str">
        <f t="shared" si="1"/>
        <v/>
      </c>
    </row>
    <row r="205">
      <c r="A205" s="47"/>
      <c r="C205" s="48"/>
      <c r="D205" s="49"/>
      <c r="E205" s="50"/>
      <c r="F205" s="51"/>
      <c r="G205" s="52"/>
      <c r="H205" s="53" t="str">
        <f t="shared" si="1"/>
        <v/>
      </c>
    </row>
    <row r="206">
      <c r="A206" s="47"/>
      <c r="C206" s="48"/>
      <c r="D206" s="49"/>
      <c r="E206" s="50"/>
      <c r="F206" s="51"/>
      <c r="G206" s="52"/>
      <c r="H206" s="53" t="str">
        <f t="shared" si="1"/>
        <v/>
      </c>
    </row>
    <row r="207">
      <c r="A207" s="47"/>
      <c r="C207" s="48"/>
      <c r="D207" s="49"/>
      <c r="E207" s="50"/>
      <c r="F207" s="51"/>
      <c r="G207" s="52"/>
      <c r="H207" s="53" t="str">
        <f t="shared" si="1"/>
        <v/>
      </c>
    </row>
    <row r="208">
      <c r="A208" s="47"/>
      <c r="C208" s="48"/>
      <c r="D208" s="49"/>
      <c r="E208" s="50"/>
      <c r="F208" s="51"/>
      <c r="G208" s="52"/>
      <c r="H208" s="53" t="str">
        <f t="shared" si="1"/>
        <v/>
      </c>
    </row>
    <row r="209">
      <c r="A209" s="47"/>
      <c r="C209" s="48"/>
      <c r="D209" s="49"/>
      <c r="E209" s="50"/>
      <c r="F209" s="51"/>
      <c r="G209" s="52"/>
      <c r="H209" s="53" t="str">
        <f t="shared" si="1"/>
        <v/>
      </c>
    </row>
    <row r="210">
      <c r="A210" s="47"/>
      <c r="C210" s="48"/>
      <c r="D210" s="49"/>
      <c r="E210" s="50"/>
      <c r="F210" s="51"/>
      <c r="G210" s="52"/>
      <c r="H210" s="53" t="str">
        <f t="shared" si="1"/>
        <v/>
      </c>
    </row>
    <row r="211">
      <c r="A211" s="47"/>
      <c r="C211" s="48"/>
      <c r="D211" s="49"/>
      <c r="E211" s="50"/>
      <c r="F211" s="51"/>
      <c r="G211" s="52"/>
      <c r="H211" s="53" t="str">
        <f t="shared" si="1"/>
        <v/>
      </c>
    </row>
    <row r="212">
      <c r="A212" s="47"/>
      <c r="C212" s="48"/>
      <c r="D212" s="49"/>
      <c r="E212" s="50"/>
      <c r="F212" s="51"/>
      <c r="G212" s="52"/>
      <c r="H212" s="53" t="str">
        <f t="shared" si="1"/>
        <v/>
      </c>
    </row>
    <row r="213">
      <c r="A213" s="47"/>
      <c r="C213" s="48"/>
      <c r="D213" s="49"/>
      <c r="E213" s="50"/>
      <c r="F213" s="51"/>
      <c r="G213" s="52"/>
      <c r="H213" s="53" t="str">
        <f t="shared" si="1"/>
        <v/>
      </c>
    </row>
    <row r="214">
      <c r="A214" s="47"/>
      <c r="C214" s="48"/>
      <c r="D214" s="49"/>
      <c r="E214" s="50"/>
      <c r="F214" s="51"/>
      <c r="G214" s="52"/>
      <c r="H214" s="53" t="str">
        <f t="shared" si="1"/>
        <v/>
      </c>
    </row>
    <row r="215">
      <c r="A215" s="47"/>
      <c r="C215" s="48"/>
      <c r="D215" s="49"/>
      <c r="E215" s="50"/>
      <c r="F215" s="51"/>
      <c r="G215" s="52"/>
      <c r="H215" s="53" t="str">
        <f t="shared" si="1"/>
        <v/>
      </c>
    </row>
    <row r="216">
      <c r="A216" s="47"/>
      <c r="C216" s="48"/>
      <c r="D216" s="49"/>
      <c r="E216" s="50"/>
      <c r="F216" s="51"/>
      <c r="G216" s="52"/>
      <c r="H216" s="53" t="str">
        <f t="shared" si="1"/>
        <v/>
      </c>
    </row>
    <row r="217">
      <c r="A217" s="47"/>
      <c r="C217" s="48"/>
      <c r="D217" s="49"/>
      <c r="E217" s="50"/>
      <c r="F217" s="51"/>
      <c r="G217" s="52"/>
      <c r="H217" s="53" t="str">
        <f t="shared" si="1"/>
        <v/>
      </c>
    </row>
    <row r="218">
      <c r="A218" s="47"/>
      <c r="C218" s="48"/>
      <c r="D218" s="49"/>
      <c r="E218" s="50"/>
      <c r="F218" s="51"/>
      <c r="G218" s="52"/>
      <c r="H218" s="53" t="str">
        <f t="shared" si="1"/>
        <v/>
      </c>
    </row>
    <row r="219">
      <c r="A219" s="47"/>
      <c r="C219" s="48"/>
      <c r="D219" s="49"/>
      <c r="E219" s="50"/>
      <c r="F219" s="51"/>
      <c r="G219" s="52"/>
      <c r="H219" s="53" t="str">
        <f t="shared" si="1"/>
        <v/>
      </c>
    </row>
    <row r="220">
      <c r="A220" s="47"/>
      <c r="C220" s="48"/>
      <c r="D220" s="49"/>
      <c r="E220" s="50"/>
      <c r="F220" s="51"/>
      <c r="G220" s="52"/>
      <c r="H220" s="53" t="str">
        <f t="shared" si="1"/>
        <v/>
      </c>
    </row>
    <row r="221">
      <c r="A221" s="47"/>
      <c r="C221" s="48"/>
      <c r="D221" s="49"/>
      <c r="E221" s="50"/>
      <c r="F221" s="51"/>
      <c r="G221" s="52"/>
      <c r="H221" s="53" t="str">
        <f t="shared" si="1"/>
        <v/>
      </c>
    </row>
    <row r="222">
      <c r="A222" s="47"/>
      <c r="C222" s="48"/>
      <c r="D222" s="49"/>
      <c r="E222" s="50"/>
      <c r="F222" s="51"/>
      <c r="G222" s="52"/>
      <c r="H222" s="53" t="str">
        <f t="shared" si="1"/>
        <v/>
      </c>
    </row>
    <row r="223">
      <c r="A223" s="47"/>
      <c r="C223" s="48"/>
      <c r="D223" s="49"/>
      <c r="E223" s="50"/>
      <c r="F223" s="51"/>
      <c r="G223" s="52"/>
      <c r="H223" s="53" t="str">
        <f t="shared" si="1"/>
        <v/>
      </c>
    </row>
    <row r="224">
      <c r="A224" s="47"/>
      <c r="C224" s="48"/>
      <c r="D224" s="49"/>
      <c r="E224" s="50"/>
      <c r="F224" s="51"/>
      <c r="G224" s="52"/>
      <c r="H224" s="53" t="str">
        <f t="shared" si="1"/>
        <v/>
      </c>
    </row>
    <row r="225">
      <c r="A225" s="47"/>
      <c r="C225" s="48"/>
      <c r="D225" s="49"/>
      <c r="E225" s="50"/>
      <c r="F225" s="51"/>
      <c r="G225" s="52"/>
      <c r="H225" s="53" t="str">
        <f t="shared" si="1"/>
        <v/>
      </c>
    </row>
    <row r="226">
      <c r="A226" s="47"/>
      <c r="C226" s="48"/>
      <c r="D226" s="49"/>
      <c r="E226" s="50"/>
      <c r="F226" s="51"/>
      <c r="G226" s="52"/>
      <c r="H226" s="53" t="str">
        <f t="shared" si="1"/>
        <v/>
      </c>
    </row>
    <row r="227">
      <c r="A227" s="47"/>
      <c r="C227" s="48"/>
      <c r="D227" s="49"/>
      <c r="E227" s="50"/>
      <c r="F227" s="51"/>
      <c r="G227" s="52"/>
      <c r="H227" s="53" t="str">
        <f t="shared" si="1"/>
        <v/>
      </c>
    </row>
    <row r="228">
      <c r="A228" s="47"/>
      <c r="C228" s="48"/>
      <c r="D228" s="49"/>
      <c r="E228" s="50"/>
      <c r="F228" s="51"/>
      <c r="G228" s="52"/>
      <c r="H228" s="53" t="str">
        <f t="shared" si="1"/>
        <v/>
      </c>
    </row>
    <row r="229">
      <c r="A229" s="47"/>
      <c r="C229" s="48"/>
      <c r="D229" s="49"/>
      <c r="E229" s="50"/>
      <c r="F229" s="51"/>
      <c r="G229" s="52"/>
      <c r="H229" s="53" t="str">
        <f t="shared" si="1"/>
        <v/>
      </c>
    </row>
    <row r="230">
      <c r="A230" s="47"/>
      <c r="C230" s="48"/>
      <c r="D230" s="49"/>
      <c r="E230" s="50"/>
      <c r="F230" s="51"/>
      <c r="G230" s="52"/>
      <c r="H230" s="53" t="str">
        <f t="shared" si="1"/>
        <v/>
      </c>
    </row>
    <row r="231">
      <c r="A231" s="47"/>
      <c r="C231" s="48"/>
      <c r="D231" s="49"/>
      <c r="E231" s="50"/>
      <c r="F231" s="51"/>
      <c r="G231" s="52"/>
      <c r="H231" s="53" t="str">
        <f t="shared" si="1"/>
        <v/>
      </c>
    </row>
    <row r="232">
      <c r="A232" s="47"/>
      <c r="C232" s="48"/>
      <c r="D232" s="49"/>
      <c r="E232" s="50"/>
      <c r="F232" s="51"/>
      <c r="G232" s="52"/>
      <c r="H232" s="53" t="str">
        <f t="shared" si="1"/>
        <v/>
      </c>
    </row>
    <row r="233">
      <c r="A233" s="47"/>
      <c r="C233" s="48"/>
      <c r="D233" s="49"/>
      <c r="E233" s="50"/>
      <c r="F233" s="51"/>
      <c r="G233" s="52"/>
      <c r="H233" s="53" t="str">
        <f t="shared" si="1"/>
        <v/>
      </c>
    </row>
    <row r="234">
      <c r="A234" s="47"/>
      <c r="C234" s="48"/>
      <c r="D234" s="49"/>
      <c r="E234" s="50"/>
      <c r="F234" s="51"/>
      <c r="G234" s="52"/>
      <c r="H234" s="53" t="str">
        <f t="shared" si="1"/>
        <v/>
      </c>
    </row>
    <row r="235">
      <c r="A235" s="47"/>
      <c r="C235" s="48"/>
      <c r="D235" s="49"/>
      <c r="E235" s="50"/>
      <c r="F235" s="51"/>
      <c r="G235" s="52"/>
      <c r="H235" s="53" t="str">
        <f t="shared" si="1"/>
        <v/>
      </c>
    </row>
    <row r="236">
      <c r="A236" s="47"/>
      <c r="C236" s="48"/>
      <c r="D236" s="49"/>
      <c r="E236" s="50"/>
      <c r="F236" s="51"/>
      <c r="G236" s="52"/>
      <c r="H236" s="53" t="str">
        <f t="shared" si="1"/>
        <v/>
      </c>
    </row>
    <row r="237">
      <c r="A237" s="47"/>
      <c r="C237" s="48"/>
      <c r="D237" s="49"/>
      <c r="E237" s="50"/>
      <c r="F237" s="51"/>
      <c r="G237" s="52"/>
      <c r="H237" s="53" t="str">
        <f t="shared" si="1"/>
        <v/>
      </c>
    </row>
    <row r="238">
      <c r="A238" s="47"/>
      <c r="C238" s="48"/>
      <c r="D238" s="49"/>
      <c r="E238" s="50"/>
      <c r="F238" s="51"/>
      <c r="G238" s="52"/>
      <c r="H238" s="53" t="str">
        <f t="shared" si="1"/>
        <v/>
      </c>
    </row>
    <row r="239">
      <c r="A239" s="47"/>
      <c r="C239" s="48"/>
      <c r="D239" s="49"/>
      <c r="E239" s="50"/>
      <c r="F239" s="51"/>
      <c r="G239" s="52"/>
      <c r="H239" s="53" t="str">
        <f t="shared" si="1"/>
        <v/>
      </c>
    </row>
    <row r="240">
      <c r="A240" s="47"/>
      <c r="C240" s="48"/>
      <c r="D240" s="49"/>
      <c r="E240" s="50"/>
      <c r="F240" s="51"/>
      <c r="G240" s="52"/>
      <c r="H240" s="53" t="str">
        <f t="shared" si="1"/>
        <v/>
      </c>
    </row>
    <row r="241">
      <c r="A241" s="47"/>
      <c r="C241" s="48"/>
      <c r="D241" s="49"/>
      <c r="E241" s="50"/>
      <c r="F241" s="51"/>
      <c r="G241" s="52"/>
      <c r="H241" s="53" t="str">
        <f t="shared" si="1"/>
        <v/>
      </c>
    </row>
    <row r="242">
      <c r="A242" s="47"/>
      <c r="C242" s="48"/>
      <c r="D242" s="49"/>
      <c r="E242" s="50"/>
      <c r="F242" s="51"/>
      <c r="G242" s="52"/>
      <c r="H242" s="53" t="str">
        <f t="shared" si="1"/>
        <v/>
      </c>
    </row>
    <row r="243">
      <c r="A243" s="47"/>
      <c r="C243" s="48"/>
      <c r="D243" s="49"/>
      <c r="E243" s="50"/>
      <c r="F243" s="51"/>
      <c r="G243" s="52"/>
      <c r="H243" s="53" t="str">
        <f t="shared" si="1"/>
        <v/>
      </c>
    </row>
    <row r="244">
      <c r="A244" s="47"/>
      <c r="C244" s="48"/>
      <c r="D244" s="49"/>
      <c r="E244" s="50"/>
      <c r="F244" s="51"/>
      <c r="G244" s="52"/>
      <c r="H244" s="53" t="str">
        <f t="shared" si="1"/>
        <v/>
      </c>
    </row>
    <row r="245">
      <c r="A245" s="47"/>
      <c r="C245" s="48"/>
      <c r="D245" s="49"/>
      <c r="E245" s="50"/>
      <c r="F245" s="51"/>
      <c r="G245" s="52"/>
      <c r="H245" s="53" t="str">
        <f t="shared" si="1"/>
        <v/>
      </c>
    </row>
    <row r="246">
      <c r="A246" s="47"/>
      <c r="C246" s="48"/>
      <c r="D246" s="49"/>
      <c r="E246" s="50"/>
      <c r="F246" s="51"/>
      <c r="G246" s="52"/>
      <c r="H246" s="53" t="str">
        <f t="shared" si="1"/>
        <v/>
      </c>
    </row>
    <row r="247">
      <c r="A247" s="47"/>
      <c r="C247" s="48"/>
      <c r="D247" s="49"/>
      <c r="E247" s="50"/>
      <c r="F247" s="51"/>
      <c r="G247" s="52"/>
      <c r="H247" s="53" t="str">
        <f t="shared" si="1"/>
        <v/>
      </c>
    </row>
    <row r="248">
      <c r="A248" s="47"/>
      <c r="C248" s="48"/>
      <c r="D248" s="49"/>
      <c r="E248" s="50"/>
      <c r="F248" s="51"/>
      <c r="G248" s="52"/>
      <c r="H248" s="53" t="str">
        <f t="shared" si="1"/>
        <v/>
      </c>
    </row>
    <row r="249">
      <c r="A249" s="47"/>
      <c r="C249" s="48"/>
      <c r="D249" s="49"/>
      <c r="E249" s="50"/>
      <c r="F249" s="51"/>
      <c r="G249" s="52"/>
      <c r="H249" s="53" t="str">
        <f t="shared" si="1"/>
        <v/>
      </c>
    </row>
    <row r="250">
      <c r="A250" s="47"/>
      <c r="C250" s="48"/>
      <c r="D250" s="49"/>
      <c r="E250" s="50"/>
      <c r="F250" s="51"/>
      <c r="G250" s="52"/>
      <c r="H250" s="53" t="str">
        <f t="shared" si="1"/>
        <v/>
      </c>
    </row>
    <row r="251">
      <c r="A251" s="47"/>
      <c r="C251" s="48"/>
      <c r="D251" s="49"/>
      <c r="E251" s="50"/>
      <c r="F251" s="51"/>
      <c r="G251" s="52"/>
      <c r="H251" s="53" t="str">
        <f t="shared" si="1"/>
        <v/>
      </c>
    </row>
    <row r="252">
      <c r="A252" s="47"/>
      <c r="C252" s="48"/>
      <c r="D252" s="49"/>
      <c r="E252" s="50"/>
      <c r="F252" s="51"/>
      <c r="G252" s="52"/>
      <c r="H252" s="53" t="str">
        <f t="shared" si="1"/>
        <v/>
      </c>
    </row>
    <row r="253">
      <c r="A253" s="47"/>
      <c r="C253" s="48"/>
      <c r="D253" s="49"/>
      <c r="E253" s="50"/>
      <c r="F253" s="51"/>
      <c r="G253" s="52"/>
      <c r="H253" s="53" t="str">
        <f t="shared" si="1"/>
        <v/>
      </c>
    </row>
    <row r="254">
      <c r="A254" s="47"/>
      <c r="C254" s="48"/>
      <c r="D254" s="49"/>
      <c r="E254" s="50"/>
      <c r="F254" s="51"/>
      <c r="G254" s="52"/>
      <c r="H254" s="53" t="str">
        <f t="shared" si="1"/>
        <v/>
      </c>
    </row>
    <row r="255">
      <c r="A255" s="47"/>
      <c r="C255" s="48"/>
      <c r="D255" s="49"/>
      <c r="E255" s="50"/>
      <c r="F255" s="51"/>
      <c r="G255" s="52"/>
      <c r="H255" s="53" t="str">
        <f t="shared" si="1"/>
        <v/>
      </c>
    </row>
    <row r="256">
      <c r="A256" s="47"/>
      <c r="C256" s="48"/>
      <c r="D256" s="49"/>
      <c r="E256" s="50"/>
      <c r="F256" s="51"/>
      <c r="G256" s="52"/>
      <c r="H256" s="53" t="str">
        <f t="shared" si="1"/>
        <v/>
      </c>
    </row>
    <row r="257">
      <c r="A257" s="47"/>
      <c r="C257" s="48"/>
      <c r="D257" s="49"/>
      <c r="E257" s="50"/>
      <c r="F257" s="51"/>
      <c r="G257" s="52"/>
      <c r="H257" s="53" t="str">
        <f t="shared" si="1"/>
        <v/>
      </c>
    </row>
    <row r="258">
      <c r="A258" s="47"/>
      <c r="C258" s="48"/>
      <c r="D258" s="49"/>
      <c r="E258" s="50"/>
      <c r="F258" s="51"/>
      <c r="G258" s="52"/>
      <c r="H258" s="53" t="str">
        <f t="shared" si="1"/>
        <v/>
      </c>
    </row>
    <row r="259">
      <c r="A259" s="47"/>
      <c r="C259" s="48"/>
      <c r="D259" s="49"/>
      <c r="E259" s="50"/>
      <c r="F259" s="51"/>
      <c r="G259" s="52"/>
      <c r="H259" s="53" t="str">
        <f t="shared" si="1"/>
        <v/>
      </c>
    </row>
    <row r="260">
      <c r="A260" s="47"/>
      <c r="C260" s="48"/>
      <c r="D260" s="49"/>
      <c r="E260" s="50"/>
      <c r="F260" s="51"/>
      <c r="G260" s="52"/>
      <c r="H260" s="53" t="str">
        <f t="shared" si="1"/>
        <v/>
      </c>
    </row>
    <row r="261">
      <c r="A261" s="47"/>
      <c r="C261" s="48"/>
      <c r="D261" s="49"/>
      <c r="E261" s="50"/>
      <c r="F261" s="51"/>
      <c r="G261" s="52"/>
      <c r="H261" s="53" t="str">
        <f t="shared" si="1"/>
        <v/>
      </c>
    </row>
    <row r="262">
      <c r="A262" s="47"/>
      <c r="C262" s="48"/>
      <c r="D262" s="49"/>
      <c r="E262" s="50"/>
      <c r="F262" s="51"/>
      <c r="G262" s="52"/>
      <c r="H262" s="53" t="str">
        <f t="shared" si="1"/>
        <v/>
      </c>
    </row>
    <row r="263">
      <c r="A263" s="47"/>
      <c r="C263" s="48"/>
      <c r="D263" s="49"/>
      <c r="E263" s="50"/>
      <c r="F263" s="51"/>
      <c r="G263" s="52"/>
      <c r="H263" s="53" t="str">
        <f t="shared" si="1"/>
        <v/>
      </c>
    </row>
    <row r="264">
      <c r="A264" s="47"/>
      <c r="C264" s="48"/>
      <c r="D264" s="49"/>
      <c r="E264" s="50"/>
      <c r="F264" s="51"/>
      <c r="G264" s="52"/>
      <c r="H264" s="53" t="str">
        <f t="shared" si="1"/>
        <v/>
      </c>
    </row>
    <row r="265">
      <c r="A265" s="47"/>
      <c r="C265" s="48"/>
      <c r="D265" s="49"/>
      <c r="E265" s="50"/>
      <c r="F265" s="51"/>
      <c r="G265" s="52"/>
      <c r="H265" s="53" t="str">
        <f t="shared" si="1"/>
        <v/>
      </c>
    </row>
    <row r="266">
      <c r="A266" s="47"/>
      <c r="C266" s="48"/>
      <c r="D266" s="49"/>
      <c r="E266" s="50"/>
      <c r="F266" s="51"/>
      <c r="G266" s="52"/>
      <c r="H266" s="53" t="str">
        <f t="shared" si="1"/>
        <v/>
      </c>
    </row>
    <row r="267">
      <c r="A267" s="47"/>
      <c r="C267" s="48"/>
      <c r="D267" s="49"/>
      <c r="E267" s="50"/>
      <c r="F267" s="51"/>
      <c r="G267" s="52"/>
      <c r="H267" s="53" t="str">
        <f t="shared" si="1"/>
        <v/>
      </c>
    </row>
    <row r="268">
      <c r="A268" s="47"/>
      <c r="C268" s="48"/>
      <c r="D268" s="49"/>
      <c r="E268" s="50"/>
      <c r="F268" s="51"/>
      <c r="G268" s="52"/>
      <c r="H268" s="53" t="str">
        <f t="shared" si="1"/>
        <v/>
      </c>
    </row>
    <row r="269">
      <c r="A269" s="47"/>
      <c r="C269" s="48"/>
      <c r="D269" s="49"/>
      <c r="E269" s="50"/>
      <c r="F269" s="51"/>
      <c r="G269" s="52"/>
      <c r="H269" s="53" t="str">
        <f t="shared" si="1"/>
        <v/>
      </c>
    </row>
    <row r="270">
      <c r="A270" s="47"/>
      <c r="C270" s="48"/>
      <c r="D270" s="49"/>
      <c r="E270" s="50"/>
      <c r="F270" s="51"/>
      <c r="G270" s="52"/>
      <c r="H270" s="53" t="str">
        <f t="shared" si="1"/>
        <v/>
      </c>
    </row>
    <row r="271">
      <c r="A271" s="47"/>
      <c r="C271" s="48"/>
      <c r="D271" s="49"/>
      <c r="E271" s="50"/>
      <c r="F271" s="51"/>
      <c r="G271" s="52"/>
      <c r="H271" s="53" t="str">
        <f t="shared" si="1"/>
        <v/>
      </c>
    </row>
    <row r="272">
      <c r="A272" s="47"/>
      <c r="C272" s="48"/>
      <c r="D272" s="49"/>
      <c r="E272" s="50"/>
      <c r="F272" s="51"/>
      <c r="G272" s="52"/>
      <c r="H272" s="53" t="str">
        <f t="shared" si="1"/>
        <v/>
      </c>
    </row>
    <row r="273">
      <c r="A273" s="47"/>
      <c r="C273" s="48"/>
      <c r="D273" s="49"/>
      <c r="E273" s="50"/>
      <c r="F273" s="51"/>
      <c r="G273" s="52"/>
      <c r="H273" s="53" t="str">
        <f t="shared" si="1"/>
        <v/>
      </c>
    </row>
    <row r="274">
      <c r="A274" s="47"/>
      <c r="C274" s="48"/>
      <c r="D274" s="49"/>
      <c r="E274" s="50"/>
      <c r="F274" s="51"/>
      <c r="G274" s="52"/>
      <c r="H274" s="53" t="str">
        <f t="shared" si="1"/>
        <v/>
      </c>
    </row>
    <row r="275">
      <c r="A275" s="47"/>
      <c r="C275" s="48"/>
      <c r="D275" s="49"/>
      <c r="E275" s="50"/>
      <c r="F275" s="51"/>
      <c r="G275" s="52"/>
      <c r="H275" s="53" t="str">
        <f t="shared" si="1"/>
        <v/>
      </c>
    </row>
    <row r="276">
      <c r="A276" s="47"/>
      <c r="C276" s="48"/>
      <c r="D276" s="49"/>
      <c r="E276" s="50"/>
      <c r="F276" s="51"/>
      <c r="G276" s="52"/>
      <c r="H276" s="53" t="str">
        <f t="shared" si="1"/>
        <v/>
      </c>
    </row>
    <row r="277">
      <c r="A277" s="47"/>
      <c r="C277" s="48"/>
      <c r="D277" s="49"/>
      <c r="E277" s="50"/>
      <c r="F277" s="51"/>
      <c r="G277" s="52"/>
      <c r="H277" s="53" t="str">
        <f t="shared" si="1"/>
        <v/>
      </c>
    </row>
    <row r="278">
      <c r="A278" s="47"/>
      <c r="C278" s="48"/>
      <c r="D278" s="49"/>
      <c r="E278" s="50"/>
      <c r="F278" s="51"/>
      <c r="G278" s="52"/>
      <c r="H278" s="53" t="str">
        <f t="shared" si="1"/>
        <v/>
      </c>
    </row>
    <row r="279">
      <c r="A279" s="47"/>
      <c r="C279" s="48"/>
      <c r="D279" s="49"/>
      <c r="E279" s="50"/>
      <c r="F279" s="51"/>
      <c r="G279" s="52"/>
      <c r="H279" s="53" t="str">
        <f t="shared" si="1"/>
        <v/>
      </c>
    </row>
    <row r="280">
      <c r="A280" s="47"/>
      <c r="C280" s="48"/>
      <c r="D280" s="49"/>
      <c r="E280" s="50"/>
      <c r="F280" s="51"/>
      <c r="G280" s="52"/>
      <c r="H280" s="53" t="str">
        <f t="shared" si="1"/>
        <v/>
      </c>
    </row>
    <row r="281">
      <c r="A281" s="47"/>
      <c r="C281" s="48"/>
      <c r="D281" s="49"/>
      <c r="E281" s="50"/>
      <c r="F281" s="51"/>
      <c r="G281" s="52"/>
      <c r="H281" s="53" t="str">
        <f t="shared" si="1"/>
        <v/>
      </c>
    </row>
    <row r="282">
      <c r="A282" s="47"/>
      <c r="C282" s="48"/>
      <c r="D282" s="49"/>
      <c r="E282" s="50"/>
      <c r="F282" s="51"/>
      <c r="G282" s="52"/>
      <c r="H282" s="53" t="str">
        <f t="shared" si="1"/>
        <v/>
      </c>
    </row>
    <row r="283">
      <c r="A283" s="47"/>
      <c r="C283" s="48"/>
      <c r="D283" s="49"/>
      <c r="E283" s="50"/>
      <c r="F283" s="51"/>
      <c r="G283" s="52"/>
      <c r="H283" s="53" t="str">
        <f t="shared" si="1"/>
        <v/>
      </c>
    </row>
    <row r="284">
      <c r="A284" s="47"/>
      <c r="C284" s="48"/>
      <c r="D284" s="49"/>
      <c r="E284" s="50"/>
      <c r="F284" s="51"/>
      <c r="G284" s="52"/>
      <c r="H284" s="53" t="str">
        <f t="shared" si="1"/>
        <v/>
      </c>
    </row>
    <row r="285">
      <c r="A285" s="47"/>
      <c r="C285" s="48"/>
      <c r="D285" s="49"/>
      <c r="E285" s="50"/>
      <c r="F285" s="51"/>
      <c r="G285" s="52"/>
      <c r="H285" s="53" t="str">
        <f t="shared" si="1"/>
        <v/>
      </c>
    </row>
    <row r="286">
      <c r="A286" s="47"/>
      <c r="C286" s="48"/>
      <c r="D286" s="49"/>
      <c r="E286" s="50"/>
      <c r="F286" s="51"/>
      <c r="G286" s="52"/>
      <c r="H286" s="53" t="str">
        <f t="shared" si="1"/>
        <v/>
      </c>
    </row>
    <row r="287">
      <c r="A287" s="47"/>
      <c r="C287" s="48"/>
      <c r="D287" s="49"/>
      <c r="E287" s="50"/>
      <c r="F287" s="51"/>
      <c r="G287" s="52"/>
      <c r="H287" s="53" t="str">
        <f t="shared" si="1"/>
        <v/>
      </c>
    </row>
    <row r="288">
      <c r="A288" s="47"/>
      <c r="C288" s="48"/>
      <c r="D288" s="49"/>
      <c r="E288" s="50"/>
      <c r="F288" s="51"/>
      <c r="G288" s="52"/>
      <c r="H288" s="53" t="str">
        <f t="shared" si="1"/>
        <v/>
      </c>
    </row>
    <row r="289">
      <c r="A289" s="47"/>
      <c r="C289" s="48"/>
      <c r="D289" s="49"/>
      <c r="E289" s="50"/>
      <c r="F289" s="51"/>
      <c r="G289" s="52"/>
      <c r="H289" s="53" t="str">
        <f t="shared" si="1"/>
        <v/>
      </c>
    </row>
    <row r="290">
      <c r="A290" s="47"/>
      <c r="C290" s="48"/>
      <c r="D290" s="49"/>
      <c r="E290" s="50"/>
      <c r="F290" s="51"/>
      <c r="G290" s="52"/>
      <c r="H290" s="53" t="str">
        <f t="shared" si="1"/>
        <v/>
      </c>
    </row>
    <row r="291">
      <c r="A291" s="47"/>
      <c r="C291" s="48"/>
      <c r="D291" s="49"/>
      <c r="E291" s="50"/>
      <c r="F291" s="51"/>
      <c r="G291" s="52"/>
      <c r="H291" s="53" t="str">
        <f t="shared" si="1"/>
        <v/>
      </c>
    </row>
    <row r="292">
      <c r="A292" s="47"/>
      <c r="C292" s="48"/>
      <c r="D292" s="49"/>
      <c r="E292" s="50"/>
      <c r="F292" s="51"/>
      <c r="G292" s="52"/>
      <c r="H292" s="53" t="str">
        <f t="shared" si="1"/>
        <v/>
      </c>
    </row>
    <row r="293">
      <c r="A293" s="47"/>
      <c r="C293" s="48"/>
      <c r="D293" s="49"/>
      <c r="E293" s="50"/>
      <c r="F293" s="51"/>
      <c r="G293" s="52"/>
      <c r="H293" s="53" t="str">
        <f t="shared" si="1"/>
        <v/>
      </c>
    </row>
    <row r="294">
      <c r="A294" s="47"/>
      <c r="C294" s="48"/>
      <c r="D294" s="49"/>
      <c r="E294" s="50"/>
      <c r="F294" s="51"/>
      <c r="G294" s="52"/>
      <c r="H294" s="53" t="str">
        <f t="shared" si="1"/>
        <v/>
      </c>
    </row>
    <row r="295">
      <c r="A295" s="47"/>
      <c r="C295" s="48"/>
      <c r="D295" s="49"/>
      <c r="E295" s="50"/>
      <c r="F295" s="51"/>
      <c r="G295" s="52"/>
      <c r="H295" s="53" t="str">
        <f t="shared" si="1"/>
        <v/>
      </c>
    </row>
    <row r="296">
      <c r="A296" s="47"/>
      <c r="C296" s="48"/>
      <c r="D296" s="49"/>
      <c r="E296" s="50"/>
      <c r="F296" s="51"/>
      <c r="G296" s="52"/>
      <c r="H296" s="53" t="str">
        <f t="shared" si="1"/>
        <v/>
      </c>
    </row>
    <row r="297">
      <c r="A297" s="47"/>
      <c r="C297" s="48"/>
      <c r="D297" s="49"/>
      <c r="E297" s="50"/>
      <c r="F297" s="51"/>
      <c r="G297" s="52"/>
      <c r="H297" s="53" t="str">
        <f t="shared" si="1"/>
        <v/>
      </c>
    </row>
    <row r="298">
      <c r="A298" s="47"/>
      <c r="C298" s="48"/>
      <c r="D298" s="49"/>
      <c r="E298" s="50"/>
      <c r="F298" s="51"/>
      <c r="G298" s="52"/>
      <c r="H298" s="53" t="str">
        <f t="shared" si="1"/>
        <v/>
      </c>
    </row>
    <row r="299">
      <c r="A299" s="47"/>
      <c r="C299" s="48"/>
      <c r="D299" s="49"/>
      <c r="E299" s="50"/>
      <c r="F299" s="51"/>
      <c r="G299" s="52"/>
      <c r="H299" s="53" t="str">
        <f t="shared" si="1"/>
        <v/>
      </c>
    </row>
    <row r="300">
      <c r="A300" s="47"/>
      <c r="C300" s="48"/>
      <c r="D300" s="49"/>
      <c r="E300" s="50"/>
      <c r="F300" s="51"/>
      <c r="G300" s="52"/>
      <c r="H300" s="53" t="str">
        <f t="shared" si="1"/>
        <v/>
      </c>
    </row>
    <row r="301">
      <c r="A301" s="47"/>
      <c r="C301" s="48"/>
      <c r="D301" s="49"/>
      <c r="E301" s="50"/>
      <c r="F301" s="51"/>
      <c r="G301" s="52"/>
      <c r="H301" s="53" t="str">
        <f t="shared" si="1"/>
        <v/>
      </c>
    </row>
    <row r="302">
      <c r="A302" s="47"/>
      <c r="C302" s="48"/>
      <c r="D302" s="49"/>
      <c r="E302" s="50"/>
      <c r="F302" s="51"/>
      <c r="G302" s="52"/>
      <c r="H302" s="53" t="str">
        <f t="shared" si="1"/>
        <v/>
      </c>
    </row>
    <row r="303">
      <c r="A303" s="47"/>
      <c r="C303" s="48"/>
      <c r="D303" s="49"/>
      <c r="E303" s="50"/>
      <c r="F303" s="51"/>
      <c r="G303" s="52"/>
      <c r="H303" s="53" t="str">
        <f t="shared" si="1"/>
        <v/>
      </c>
    </row>
    <row r="304">
      <c r="A304" s="47"/>
      <c r="C304" s="48"/>
      <c r="D304" s="49"/>
      <c r="E304" s="50"/>
      <c r="F304" s="51"/>
      <c r="G304" s="52"/>
      <c r="H304" s="53" t="str">
        <f t="shared" si="1"/>
        <v/>
      </c>
    </row>
    <row r="305">
      <c r="A305" s="47"/>
      <c r="C305" s="48"/>
      <c r="D305" s="49"/>
      <c r="E305" s="50"/>
      <c r="F305" s="51"/>
      <c r="G305" s="52"/>
      <c r="H305" s="53" t="str">
        <f t="shared" si="1"/>
        <v/>
      </c>
    </row>
    <row r="306">
      <c r="A306" s="47"/>
      <c r="C306" s="48"/>
      <c r="D306" s="49"/>
      <c r="E306" s="50"/>
      <c r="F306" s="51"/>
      <c r="G306" s="52"/>
      <c r="H306" s="53" t="str">
        <f t="shared" si="1"/>
        <v/>
      </c>
    </row>
    <row r="307">
      <c r="A307" s="47"/>
      <c r="C307" s="48"/>
      <c r="D307" s="49"/>
      <c r="E307" s="50"/>
      <c r="F307" s="51"/>
      <c r="G307" s="52"/>
      <c r="H307" s="53" t="str">
        <f t="shared" si="1"/>
        <v/>
      </c>
    </row>
    <row r="308">
      <c r="A308" s="47"/>
      <c r="C308" s="48"/>
      <c r="D308" s="49"/>
      <c r="E308" s="50"/>
      <c r="F308" s="51"/>
      <c r="G308" s="52"/>
      <c r="H308" s="53" t="str">
        <f t="shared" si="1"/>
        <v/>
      </c>
    </row>
    <row r="309">
      <c r="A309" s="47"/>
      <c r="C309" s="48"/>
      <c r="D309" s="49"/>
      <c r="E309" s="50"/>
      <c r="F309" s="51"/>
      <c r="G309" s="52"/>
      <c r="H309" s="53" t="str">
        <f t="shared" si="1"/>
        <v/>
      </c>
    </row>
    <row r="310">
      <c r="A310" s="47"/>
      <c r="C310" s="48"/>
      <c r="D310" s="49"/>
      <c r="E310" s="50"/>
      <c r="F310" s="51"/>
      <c r="G310" s="52"/>
      <c r="H310" s="53" t="str">
        <f t="shared" si="1"/>
        <v/>
      </c>
    </row>
    <row r="311">
      <c r="A311" s="47"/>
      <c r="C311" s="48"/>
      <c r="D311" s="49"/>
      <c r="E311" s="50"/>
      <c r="F311" s="51"/>
      <c r="G311" s="52"/>
      <c r="H311" s="53" t="str">
        <f t="shared" si="1"/>
        <v/>
      </c>
    </row>
    <row r="312">
      <c r="A312" s="47"/>
      <c r="C312" s="48"/>
      <c r="D312" s="49"/>
      <c r="E312" s="50"/>
      <c r="F312" s="51"/>
      <c r="G312" s="52"/>
      <c r="H312" s="53" t="str">
        <f t="shared" si="1"/>
        <v/>
      </c>
    </row>
    <row r="313">
      <c r="A313" s="47"/>
      <c r="C313" s="48"/>
      <c r="D313" s="49"/>
      <c r="E313" s="50"/>
      <c r="F313" s="51"/>
      <c r="G313" s="52"/>
      <c r="H313" s="53" t="str">
        <f t="shared" si="1"/>
        <v/>
      </c>
    </row>
    <row r="314">
      <c r="A314" s="47"/>
      <c r="C314" s="48"/>
      <c r="D314" s="49"/>
      <c r="E314" s="50"/>
      <c r="F314" s="51"/>
      <c r="G314" s="52"/>
      <c r="H314" s="53" t="str">
        <f t="shared" si="1"/>
        <v/>
      </c>
    </row>
    <row r="315">
      <c r="A315" s="47"/>
      <c r="C315" s="48"/>
      <c r="D315" s="49"/>
      <c r="E315" s="50"/>
      <c r="F315" s="51"/>
      <c r="G315" s="52"/>
      <c r="H315" s="53" t="str">
        <f t="shared" si="1"/>
        <v/>
      </c>
    </row>
    <row r="316">
      <c r="A316" s="47"/>
      <c r="C316" s="48"/>
      <c r="D316" s="49"/>
      <c r="E316" s="50"/>
      <c r="F316" s="51"/>
      <c r="G316" s="52"/>
      <c r="H316" s="53" t="str">
        <f t="shared" si="1"/>
        <v/>
      </c>
    </row>
    <row r="317">
      <c r="A317" s="47"/>
      <c r="C317" s="48"/>
      <c r="D317" s="49"/>
      <c r="E317" s="50"/>
      <c r="F317" s="51"/>
      <c r="G317" s="52"/>
      <c r="H317" s="53" t="str">
        <f t="shared" si="1"/>
        <v/>
      </c>
    </row>
    <row r="318">
      <c r="A318" s="47"/>
      <c r="C318" s="48"/>
      <c r="D318" s="49"/>
      <c r="E318" s="50"/>
      <c r="F318" s="51"/>
      <c r="G318" s="52"/>
      <c r="H318" s="53" t="str">
        <f t="shared" si="1"/>
        <v/>
      </c>
    </row>
    <row r="319">
      <c r="A319" s="47"/>
      <c r="C319" s="48"/>
      <c r="D319" s="49"/>
      <c r="E319" s="50"/>
      <c r="F319" s="51"/>
      <c r="G319" s="52"/>
      <c r="H319" s="53" t="str">
        <f t="shared" si="1"/>
        <v/>
      </c>
    </row>
    <row r="320">
      <c r="A320" s="47"/>
      <c r="C320" s="48"/>
      <c r="D320" s="49"/>
      <c r="E320" s="50"/>
      <c r="F320" s="51"/>
      <c r="G320" s="52"/>
      <c r="H320" s="53" t="str">
        <f t="shared" si="1"/>
        <v/>
      </c>
    </row>
    <row r="321">
      <c r="A321" s="47"/>
      <c r="C321" s="48"/>
      <c r="D321" s="49"/>
      <c r="E321" s="50"/>
      <c r="F321" s="51"/>
      <c r="G321" s="52"/>
      <c r="H321" s="53" t="str">
        <f t="shared" si="1"/>
        <v/>
      </c>
    </row>
    <row r="322">
      <c r="A322" s="47"/>
      <c r="C322" s="48"/>
      <c r="D322" s="49"/>
      <c r="E322" s="50"/>
      <c r="F322" s="51"/>
      <c r="G322" s="52"/>
      <c r="H322" s="53" t="str">
        <f t="shared" si="1"/>
        <v/>
      </c>
    </row>
    <row r="323">
      <c r="A323" s="47"/>
      <c r="C323" s="48"/>
      <c r="D323" s="49"/>
      <c r="E323" s="50"/>
      <c r="F323" s="51"/>
      <c r="G323" s="52"/>
      <c r="H323" s="53" t="str">
        <f t="shared" si="1"/>
        <v/>
      </c>
    </row>
    <row r="324">
      <c r="A324" s="47"/>
      <c r="C324" s="48"/>
      <c r="D324" s="49"/>
      <c r="E324" s="50"/>
      <c r="F324" s="51"/>
      <c r="G324" s="52"/>
      <c r="H324" s="53" t="str">
        <f t="shared" si="1"/>
        <v/>
      </c>
    </row>
    <row r="325">
      <c r="A325" s="47"/>
      <c r="C325" s="48"/>
      <c r="D325" s="49"/>
      <c r="E325" s="50"/>
      <c r="F325" s="51"/>
      <c r="G325" s="52"/>
      <c r="H325" s="53" t="str">
        <f t="shared" si="1"/>
        <v/>
      </c>
    </row>
    <row r="326">
      <c r="A326" s="47"/>
      <c r="C326" s="48"/>
      <c r="D326" s="49"/>
      <c r="E326" s="50"/>
      <c r="F326" s="51"/>
      <c r="G326" s="52"/>
      <c r="H326" s="53" t="str">
        <f t="shared" si="1"/>
        <v/>
      </c>
    </row>
    <row r="327">
      <c r="A327" s="47"/>
      <c r="C327" s="48"/>
      <c r="D327" s="49"/>
      <c r="E327" s="50"/>
      <c r="F327" s="51"/>
      <c r="G327" s="52"/>
      <c r="H327" s="53" t="str">
        <f t="shared" si="1"/>
        <v/>
      </c>
    </row>
    <row r="328">
      <c r="A328" s="47"/>
      <c r="C328" s="48"/>
      <c r="D328" s="49"/>
      <c r="E328" s="50"/>
      <c r="F328" s="51"/>
      <c r="G328" s="52"/>
      <c r="H328" s="53" t="str">
        <f t="shared" si="1"/>
        <v/>
      </c>
    </row>
    <row r="329">
      <c r="A329" s="47"/>
      <c r="C329" s="48"/>
      <c r="D329" s="49"/>
      <c r="E329" s="50"/>
      <c r="F329" s="51"/>
      <c r="G329" s="52"/>
      <c r="H329" s="53" t="str">
        <f t="shared" si="1"/>
        <v/>
      </c>
    </row>
    <row r="330">
      <c r="A330" s="47"/>
      <c r="C330" s="48"/>
      <c r="D330" s="49"/>
      <c r="E330" s="50"/>
      <c r="F330" s="51"/>
      <c r="G330" s="52"/>
      <c r="H330" s="53" t="str">
        <f t="shared" si="1"/>
        <v/>
      </c>
    </row>
    <row r="331">
      <c r="A331" s="47"/>
      <c r="C331" s="48"/>
      <c r="D331" s="49"/>
      <c r="E331" s="50"/>
      <c r="F331" s="51"/>
      <c r="G331" s="52"/>
      <c r="H331" s="53" t="str">
        <f t="shared" si="1"/>
        <v/>
      </c>
    </row>
    <row r="332">
      <c r="A332" s="47"/>
      <c r="C332" s="48"/>
      <c r="D332" s="49"/>
      <c r="E332" s="50"/>
      <c r="F332" s="51"/>
      <c r="G332" s="52"/>
      <c r="H332" s="53" t="str">
        <f t="shared" si="1"/>
        <v/>
      </c>
    </row>
    <row r="333">
      <c r="A333" s="47"/>
      <c r="C333" s="48"/>
      <c r="D333" s="49"/>
      <c r="E333" s="50"/>
      <c r="F333" s="51"/>
      <c r="G333" s="52"/>
      <c r="H333" s="53" t="str">
        <f t="shared" si="1"/>
        <v/>
      </c>
    </row>
    <row r="334">
      <c r="A334" s="47"/>
      <c r="C334" s="48"/>
      <c r="D334" s="49"/>
      <c r="E334" s="50"/>
      <c r="F334" s="51"/>
      <c r="G334" s="52"/>
      <c r="H334" s="53" t="str">
        <f t="shared" si="1"/>
        <v/>
      </c>
    </row>
    <row r="335">
      <c r="A335" s="47"/>
      <c r="C335" s="48"/>
      <c r="D335" s="49"/>
      <c r="E335" s="50"/>
      <c r="F335" s="51"/>
      <c r="G335" s="52"/>
      <c r="H335" s="53" t="str">
        <f t="shared" si="1"/>
        <v/>
      </c>
    </row>
    <row r="336">
      <c r="A336" s="47"/>
      <c r="C336" s="48"/>
      <c r="D336" s="49"/>
      <c r="E336" s="50"/>
      <c r="F336" s="51"/>
      <c r="G336" s="52"/>
      <c r="H336" s="53" t="str">
        <f t="shared" si="1"/>
        <v/>
      </c>
    </row>
    <row r="337">
      <c r="A337" s="47"/>
      <c r="C337" s="48"/>
      <c r="D337" s="49"/>
      <c r="E337" s="50"/>
      <c r="F337" s="51"/>
      <c r="G337" s="52"/>
      <c r="H337" s="53" t="str">
        <f t="shared" si="1"/>
        <v/>
      </c>
    </row>
    <row r="338">
      <c r="A338" s="47"/>
      <c r="C338" s="48"/>
      <c r="D338" s="49"/>
      <c r="E338" s="50"/>
      <c r="F338" s="51"/>
      <c r="G338" s="52"/>
      <c r="H338" s="53" t="str">
        <f t="shared" si="1"/>
        <v/>
      </c>
    </row>
    <row r="339">
      <c r="A339" s="47"/>
      <c r="C339" s="48"/>
      <c r="D339" s="49"/>
      <c r="E339" s="50"/>
      <c r="F339" s="51"/>
      <c r="G339" s="52"/>
      <c r="H339" s="53" t="str">
        <f t="shared" si="1"/>
        <v/>
      </c>
    </row>
    <row r="340">
      <c r="A340" s="47"/>
      <c r="C340" s="48"/>
      <c r="D340" s="49"/>
      <c r="E340" s="50"/>
      <c r="F340" s="51"/>
      <c r="G340" s="52"/>
      <c r="H340" s="53" t="str">
        <f t="shared" si="1"/>
        <v/>
      </c>
    </row>
    <row r="341">
      <c r="A341" s="47"/>
      <c r="C341" s="48"/>
      <c r="D341" s="49"/>
      <c r="E341" s="50"/>
      <c r="F341" s="51"/>
      <c r="G341" s="52"/>
      <c r="H341" s="53" t="str">
        <f t="shared" si="1"/>
        <v/>
      </c>
    </row>
    <row r="342">
      <c r="A342" s="47"/>
      <c r="C342" s="48"/>
      <c r="D342" s="49"/>
      <c r="E342" s="50"/>
      <c r="F342" s="51"/>
      <c r="G342" s="52"/>
      <c r="H342" s="53" t="str">
        <f t="shared" si="1"/>
        <v/>
      </c>
    </row>
    <row r="343">
      <c r="A343" s="47"/>
      <c r="C343" s="48"/>
      <c r="D343" s="49"/>
      <c r="E343" s="50"/>
      <c r="F343" s="51"/>
      <c r="G343" s="52"/>
      <c r="H343" s="53" t="str">
        <f t="shared" si="1"/>
        <v/>
      </c>
    </row>
    <row r="344">
      <c r="A344" s="47"/>
      <c r="C344" s="48"/>
      <c r="D344" s="49"/>
      <c r="E344" s="50"/>
      <c r="F344" s="51"/>
      <c r="G344" s="52"/>
      <c r="H344" s="53" t="str">
        <f t="shared" si="1"/>
        <v/>
      </c>
    </row>
    <row r="345">
      <c r="A345" s="47"/>
      <c r="C345" s="48"/>
      <c r="D345" s="49"/>
      <c r="E345" s="50"/>
      <c r="F345" s="51"/>
      <c r="G345" s="52"/>
      <c r="H345" s="53" t="str">
        <f t="shared" si="1"/>
        <v/>
      </c>
    </row>
    <row r="346">
      <c r="A346" s="47"/>
      <c r="C346" s="48"/>
      <c r="D346" s="49"/>
      <c r="E346" s="50"/>
      <c r="F346" s="51"/>
      <c r="G346" s="52"/>
      <c r="H346" s="53" t="str">
        <f t="shared" si="1"/>
        <v/>
      </c>
    </row>
    <row r="347">
      <c r="A347" s="47"/>
      <c r="C347" s="48"/>
      <c r="D347" s="49"/>
      <c r="E347" s="50"/>
      <c r="F347" s="51"/>
      <c r="G347" s="52"/>
      <c r="H347" s="53" t="str">
        <f t="shared" si="1"/>
        <v/>
      </c>
    </row>
    <row r="348">
      <c r="A348" s="47"/>
      <c r="C348" s="48"/>
      <c r="D348" s="49"/>
      <c r="E348" s="50"/>
      <c r="F348" s="51"/>
      <c r="G348" s="52"/>
      <c r="H348" s="53" t="str">
        <f t="shared" si="1"/>
        <v/>
      </c>
    </row>
    <row r="349">
      <c r="A349" s="47"/>
      <c r="C349" s="48"/>
      <c r="D349" s="49"/>
      <c r="E349" s="50"/>
      <c r="F349" s="51"/>
      <c r="G349" s="52"/>
      <c r="H349" s="53" t="str">
        <f t="shared" si="1"/>
        <v/>
      </c>
    </row>
    <row r="350">
      <c r="A350" s="47"/>
      <c r="C350" s="48"/>
      <c r="D350" s="49"/>
      <c r="E350" s="50"/>
      <c r="F350" s="51"/>
      <c r="G350" s="52"/>
      <c r="H350" s="53" t="str">
        <f t="shared" si="1"/>
        <v/>
      </c>
    </row>
    <row r="351">
      <c r="A351" s="47"/>
      <c r="C351" s="48"/>
      <c r="D351" s="49"/>
      <c r="E351" s="50"/>
      <c r="F351" s="51"/>
      <c r="G351" s="52"/>
      <c r="H351" s="53" t="str">
        <f t="shared" si="1"/>
        <v/>
      </c>
    </row>
    <row r="352">
      <c r="A352" s="47"/>
      <c r="C352" s="48"/>
      <c r="D352" s="49"/>
      <c r="E352" s="50"/>
      <c r="F352" s="51"/>
      <c r="G352" s="52"/>
      <c r="H352" s="53" t="str">
        <f t="shared" si="1"/>
        <v/>
      </c>
    </row>
    <row r="353">
      <c r="A353" s="47"/>
      <c r="C353" s="48"/>
      <c r="D353" s="49"/>
      <c r="E353" s="50"/>
      <c r="F353" s="51"/>
      <c r="G353" s="52"/>
      <c r="H353" s="53" t="str">
        <f t="shared" si="1"/>
        <v/>
      </c>
    </row>
    <row r="354">
      <c r="A354" s="47"/>
      <c r="C354" s="48"/>
      <c r="D354" s="49"/>
      <c r="E354" s="50"/>
      <c r="F354" s="51"/>
      <c r="G354" s="52"/>
      <c r="H354" s="53" t="str">
        <f t="shared" si="1"/>
        <v/>
      </c>
    </row>
    <row r="355">
      <c r="A355" s="47"/>
      <c r="C355" s="48"/>
      <c r="D355" s="49"/>
      <c r="E355" s="50"/>
      <c r="F355" s="51"/>
      <c r="G355" s="52"/>
      <c r="H355" s="53" t="str">
        <f t="shared" si="1"/>
        <v/>
      </c>
    </row>
    <row r="356">
      <c r="A356" s="47"/>
      <c r="C356" s="48"/>
      <c r="D356" s="49"/>
      <c r="E356" s="50"/>
      <c r="F356" s="51"/>
      <c r="G356" s="52"/>
      <c r="H356" s="53" t="str">
        <f t="shared" si="1"/>
        <v/>
      </c>
    </row>
    <row r="357">
      <c r="A357" s="47"/>
      <c r="C357" s="48"/>
      <c r="D357" s="49"/>
      <c r="E357" s="50"/>
      <c r="F357" s="51"/>
      <c r="G357" s="52"/>
      <c r="H357" s="53" t="str">
        <f t="shared" si="1"/>
        <v/>
      </c>
    </row>
    <row r="358">
      <c r="A358" s="47"/>
      <c r="C358" s="48"/>
      <c r="D358" s="49"/>
      <c r="E358" s="50"/>
      <c r="F358" s="51"/>
      <c r="G358" s="52"/>
      <c r="H358" s="53" t="str">
        <f t="shared" si="1"/>
        <v/>
      </c>
    </row>
    <row r="359">
      <c r="A359" s="47"/>
      <c r="C359" s="48"/>
      <c r="D359" s="49"/>
      <c r="E359" s="50"/>
      <c r="F359" s="51"/>
      <c r="G359" s="52"/>
      <c r="H359" s="53" t="str">
        <f t="shared" si="1"/>
        <v/>
      </c>
    </row>
    <row r="360">
      <c r="A360" s="47"/>
      <c r="C360" s="48"/>
      <c r="D360" s="49"/>
      <c r="E360" s="50"/>
      <c r="F360" s="51"/>
      <c r="G360" s="52"/>
      <c r="H360" s="53" t="str">
        <f t="shared" si="1"/>
        <v/>
      </c>
    </row>
    <row r="361">
      <c r="A361" s="47"/>
      <c r="C361" s="48"/>
      <c r="D361" s="49"/>
      <c r="E361" s="50"/>
      <c r="F361" s="51"/>
      <c r="G361" s="52"/>
      <c r="H361" s="53" t="str">
        <f t="shared" si="1"/>
        <v/>
      </c>
    </row>
    <row r="362">
      <c r="A362" s="47"/>
      <c r="C362" s="48"/>
      <c r="D362" s="49"/>
      <c r="E362" s="50"/>
      <c r="F362" s="51"/>
      <c r="G362" s="52"/>
      <c r="H362" s="53" t="str">
        <f t="shared" si="1"/>
        <v/>
      </c>
    </row>
    <row r="363">
      <c r="A363" s="47"/>
      <c r="C363" s="48"/>
      <c r="D363" s="49"/>
      <c r="E363" s="50"/>
      <c r="F363" s="51"/>
      <c r="G363" s="52"/>
      <c r="H363" s="53" t="str">
        <f t="shared" si="1"/>
        <v/>
      </c>
    </row>
    <row r="364">
      <c r="A364" s="47"/>
      <c r="C364" s="48"/>
      <c r="D364" s="49"/>
      <c r="E364" s="50"/>
      <c r="F364" s="51"/>
      <c r="G364" s="52"/>
      <c r="H364" s="53" t="str">
        <f t="shared" si="1"/>
        <v/>
      </c>
    </row>
    <row r="365">
      <c r="A365" s="47"/>
      <c r="C365" s="48"/>
      <c r="D365" s="49"/>
      <c r="E365" s="50"/>
      <c r="F365" s="51"/>
      <c r="G365" s="52"/>
      <c r="H365" s="53" t="str">
        <f t="shared" si="1"/>
        <v/>
      </c>
    </row>
    <row r="366">
      <c r="A366" s="47"/>
      <c r="C366" s="48"/>
      <c r="D366" s="49"/>
      <c r="E366" s="50"/>
      <c r="F366" s="51"/>
      <c r="G366" s="52"/>
      <c r="H366" s="53" t="str">
        <f t="shared" si="1"/>
        <v/>
      </c>
    </row>
    <row r="367">
      <c r="A367" s="47"/>
      <c r="C367" s="48"/>
      <c r="D367" s="49"/>
      <c r="E367" s="50"/>
      <c r="F367" s="51"/>
      <c r="G367" s="52"/>
      <c r="H367" s="53" t="str">
        <f t="shared" si="1"/>
        <v/>
      </c>
    </row>
    <row r="368">
      <c r="A368" s="47"/>
      <c r="C368" s="48"/>
      <c r="D368" s="49"/>
      <c r="E368" s="50"/>
      <c r="F368" s="51"/>
      <c r="G368" s="52"/>
      <c r="H368" s="53" t="str">
        <f t="shared" si="1"/>
        <v/>
      </c>
    </row>
    <row r="369">
      <c r="A369" s="47"/>
      <c r="C369" s="48"/>
      <c r="D369" s="49"/>
      <c r="E369" s="50"/>
      <c r="F369" s="51"/>
      <c r="G369" s="52"/>
      <c r="H369" s="53" t="str">
        <f t="shared" si="1"/>
        <v/>
      </c>
    </row>
    <row r="370">
      <c r="A370" s="47"/>
      <c r="C370" s="48"/>
      <c r="D370" s="49"/>
      <c r="E370" s="50"/>
      <c r="F370" s="51"/>
      <c r="G370" s="52"/>
      <c r="H370" s="53" t="str">
        <f t="shared" si="1"/>
        <v/>
      </c>
    </row>
    <row r="371">
      <c r="A371" s="47"/>
      <c r="C371" s="48"/>
      <c r="D371" s="49"/>
      <c r="E371" s="50"/>
      <c r="F371" s="51"/>
      <c r="G371" s="52"/>
      <c r="H371" s="53" t="str">
        <f t="shared" si="1"/>
        <v/>
      </c>
    </row>
    <row r="372">
      <c r="A372" s="47"/>
      <c r="C372" s="48"/>
      <c r="D372" s="49"/>
      <c r="E372" s="50"/>
      <c r="F372" s="51"/>
      <c r="G372" s="52"/>
      <c r="H372" s="53" t="str">
        <f t="shared" si="1"/>
        <v/>
      </c>
    </row>
    <row r="373">
      <c r="A373" s="47"/>
      <c r="C373" s="48"/>
      <c r="D373" s="49"/>
      <c r="E373" s="50"/>
      <c r="F373" s="51"/>
      <c r="G373" s="52"/>
      <c r="H373" s="53" t="str">
        <f t="shared" si="1"/>
        <v/>
      </c>
    </row>
    <row r="374">
      <c r="A374" s="47"/>
      <c r="C374" s="48"/>
      <c r="D374" s="49"/>
      <c r="E374" s="50"/>
      <c r="F374" s="51"/>
      <c r="G374" s="52"/>
      <c r="H374" s="53" t="str">
        <f t="shared" si="1"/>
        <v/>
      </c>
    </row>
    <row r="375">
      <c r="A375" s="47"/>
      <c r="C375" s="48"/>
      <c r="D375" s="49"/>
      <c r="E375" s="50"/>
      <c r="F375" s="51"/>
      <c r="G375" s="52"/>
      <c r="H375" s="53" t="str">
        <f t="shared" si="1"/>
        <v/>
      </c>
    </row>
    <row r="376">
      <c r="A376" s="47"/>
      <c r="C376" s="48"/>
      <c r="D376" s="49"/>
      <c r="E376" s="50"/>
      <c r="F376" s="51"/>
      <c r="G376" s="52"/>
      <c r="H376" s="53" t="str">
        <f t="shared" si="1"/>
        <v/>
      </c>
    </row>
    <row r="377">
      <c r="A377" s="47"/>
      <c r="C377" s="48"/>
      <c r="D377" s="49"/>
      <c r="E377" s="50"/>
      <c r="F377" s="51"/>
      <c r="G377" s="52"/>
      <c r="H377" s="53" t="str">
        <f t="shared" si="1"/>
        <v/>
      </c>
    </row>
    <row r="378">
      <c r="A378" s="47"/>
      <c r="C378" s="48"/>
      <c r="D378" s="49"/>
      <c r="E378" s="50"/>
      <c r="F378" s="51"/>
      <c r="G378" s="52"/>
      <c r="H378" s="53" t="str">
        <f t="shared" si="1"/>
        <v/>
      </c>
    </row>
    <row r="379">
      <c r="A379" s="47"/>
      <c r="C379" s="48"/>
      <c r="D379" s="49"/>
      <c r="E379" s="50"/>
      <c r="F379" s="51"/>
      <c r="G379" s="52"/>
      <c r="H379" s="53" t="str">
        <f t="shared" si="1"/>
        <v/>
      </c>
    </row>
    <row r="380">
      <c r="A380" s="47"/>
      <c r="C380" s="48"/>
      <c r="D380" s="49"/>
      <c r="E380" s="50"/>
      <c r="F380" s="51"/>
      <c r="G380" s="52"/>
      <c r="H380" s="53" t="str">
        <f t="shared" si="1"/>
        <v/>
      </c>
    </row>
    <row r="381">
      <c r="A381" s="47"/>
      <c r="C381" s="48"/>
      <c r="D381" s="49"/>
      <c r="E381" s="50"/>
      <c r="F381" s="51"/>
      <c r="G381" s="52"/>
      <c r="H381" s="53" t="str">
        <f t="shared" si="1"/>
        <v/>
      </c>
    </row>
    <row r="382">
      <c r="A382" s="47"/>
      <c r="C382" s="48"/>
      <c r="D382" s="49"/>
      <c r="E382" s="50"/>
      <c r="F382" s="51"/>
      <c r="G382" s="52"/>
      <c r="H382" s="53" t="str">
        <f t="shared" si="1"/>
        <v/>
      </c>
    </row>
    <row r="383">
      <c r="A383" s="47"/>
      <c r="C383" s="48"/>
      <c r="D383" s="49"/>
      <c r="E383" s="50"/>
      <c r="F383" s="51"/>
      <c r="G383" s="52"/>
      <c r="H383" s="53" t="str">
        <f t="shared" si="1"/>
        <v/>
      </c>
    </row>
    <row r="384">
      <c r="A384" s="47"/>
      <c r="C384" s="48"/>
      <c r="D384" s="49"/>
      <c r="E384" s="50"/>
      <c r="F384" s="51"/>
      <c r="G384" s="52"/>
      <c r="H384" s="53" t="str">
        <f t="shared" si="1"/>
        <v/>
      </c>
    </row>
    <row r="385">
      <c r="A385" s="47"/>
      <c r="C385" s="48"/>
      <c r="D385" s="49"/>
      <c r="E385" s="50"/>
      <c r="F385" s="51"/>
      <c r="G385" s="52"/>
      <c r="H385" s="53" t="str">
        <f t="shared" si="1"/>
        <v/>
      </c>
    </row>
    <row r="386">
      <c r="A386" s="47"/>
      <c r="C386" s="48"/>
      <c r="D386" s="49"/>
      <c r="E386" s="50"/>
      <c r="F386" s="51"/>
      <c r="G386" s="52"/>
      <c r="H386" s="53" t="str">
        <f t="shared" si="1"/>
        <v/>
      </c>
    </row>
    <row r="387">
      <c r="A387" s="47"/>
      <c r="C387" s="48"/>
      <c r="D387" s="49"/>
      <c r="E387" s="50"/>
      <c r="F387" s="51"/>
      <c r="G387" s="52"/>
      <c r="H387" s="53" t="str">
        <f t="shared" si="1"/>
        <v/>
      </c>
    </row>
    <row r="388">
      <c r="A388" s="47"/>
      <c r="C388" s="48"/>
      <c r="D388" s="49"/>
      <c r="E388" s="50"/>
      <c r="F388" s="51"/>
      <c r="G388" s="52"/>
      <c r="H388" s="53" t="str">
        <f t="shared" si="1"/>
        <v/>
      </c>
    </row>
    <row r="389">
      <c r="A389" s="47"/>
      <c r="C389" s="48"/>
      <c r="D389" s="49"/>
      <c r="E389" s="50"/>
      <c r="F389" s="51"/>
      <c r="G389" s="52"/>
      <c r="H389" s="53" t="str">
        <f t="shared" si="1"/>
        <v/>
      </c>
    </row>
    <row r="390">
      <c r="A390" s="47"/>
      <c r="C390" s="48"/>
      <c r="D390" s="49"/>
      <c r="E390" s="50"/>
      <c r="F390" s="51"/>
      <c r="G390" s="52"/>
      <c r="H390" s="53" t="str">
        <f t="shared" si="1"/>
        <v/>
      </c>
    </row>
    <row r="391">
      <c r="A391" s="47"/>
      <c r="C391" s="48"/>
      <c r="D391" s="49"/>
      <c r="E391" s="50"/>
      <c r="F391" s="51"/>
      <c r="G391" s="52"/>
      <c r="H391" s="53" t="str">
        <f t="shared" si="1"/>
        <v/>
      </c>
    </row>
    <row r="392">
      <c r="A392" s="47"/>
      <c r="C392" s="48"/>
      <c r="D392" s="49"/>
      <c r="E392" s="50"/>
      <c r="F392" s="51"/>
      <c r="G392" s="52"/>
      <c r="H392" s="53" t="str">
        <f t="shared" si="1"/>
        <v/>
      </c>
    </row>
    <row r="393">
      <c r="A393" s="47"/>
      <c r="C393" s="48"/>
      <c r="D393" s="49"/>
      <c r="E393" s="50"/>
      <c r="F393" s="51"/>
      <c r="G393" s="52"/>
      <c r="H393" s="53" t="str">
        <f t="shared" si="1"/>
        <v/>
      </c>
    </row>
    <row r="394">
      <c r="A394" s="47"/>
      <c r="C394" s="48"/>
      <c r="D394" s="49"/>
      <c r="E394" s="50"/>
      <c r="F394" s="51"/>
      <c r="G394" s="52"/>
      <c r="H394" s="53" t="str">
        <f t="shared" si="1"/>
        <v/>
      </c>
    </row>
    <row r="395">
      <c r="A395" s="47"/>
      <c r="C395" s="48"/>
      <c r="D395" s="49"/>
      <c r="E395" s="50"/>
      <c r="F395" s="51"/>
      <c r="G395" s="52"/>
      <c r="H395" s="53" t="str">
        <f t="shared" si="1"/>
        <v/>
      </c>
    </row>
    <row r="396">
      <c r="A396" s="47"/>
      <c r="C396" s="48"/>
      <c r="D396" s="49"/>
      <c r="E396" s="50"/>
      <c r="F396" s="51"/>
      <c r="G396" s="52"/>
      <c r="H396" s="53" t="str">
        <f t="shared" si="1"/>
        <v/>
      </c>
    </row>
    <row r="397">
      <c r="A397" s="47"/>
      <c r="C397" s="48"/>
      <c r="D397" s="49"/>
      <c r="E397" s="50"/>
      <c r="F397" s="51"/>
      <c r="G397" s="52"/>
      <c r="H397" s="53" t="str">
        <f t="shared" si="1"/>
        <v/>
      </c>
    </row>
    <row r="398">
      <c r="A398" s="47"/>
      <c r="C398" s="48"/>
      <c r="D398" s="49"/>
      <c r="E398" s="50"/>
      <c r="F398" s="51"/>
      <c r="G398" s="52"/>
      <c r="H398" s="53" t="str">
        <f t="shared" si="1"/>
        <v/>
      </c>
    </row>
    <row r="399">
      <c r="A399" s="47"/>
      <c r="C399" s="48"/>
      <c r="D399" s="49"/>
      <c r="E399" s="50"/>
      <c r="F399" s="51"/>
      <c r="G399" s="52"/>
      <c r="H399" s="53" t="str">
        <f t="shared" si="1"/>
        <v/>
      </c>
    </row>
    <row r="400">
      <c r="A400" s="47"/>
      <c r="C400" s="48"/>
      <c r="D400" s="49"/>
      <c r="E400" s="50"/>
      <c r="F400" s="51"/>
      <c r="G400" s="52"/>
      <c r="H400" s="53" t="str">
        <f t="shared" si="1"/>
        <v/>
      </c>
    </row>
    <row r="401">
      <c r="A401" s="47"/>
      <c r="C401" s="48"/>
      <c r="D401" s="49"/>
      <c r="E401" s="50"/>
      <c r="F401" s="51"/>
      <c r="G401" s="52"/>
      <c r="H401" s="53" t="str">
        <f t="shared" si="1"/>
        <v/>
      </c>
    </row>
    <row r="402">
      <c r="A402" s="47"/>
      <c r="C402" s="48"/>
      <c r="D402" s="49"/>
      <c r="E402" s="50"/>
      <c r="F402" s="51"/>
      <c r="G402" s="52"/>
      <c r="H402" s="53" t="str">
        <f t="shared" si="1"/>
        <v/>
      </c>
    </row>
    <row r="403">
      <c r="A403" s="47"/>
      <c r="C403" s="48"/>
      <c r="D403" s="49"/>
      <c r="E403" s="50"/>
      <c r="F403" s="51"/>
      <c r="G403" s="52"/>
      <c r="H403" s="53" t="str">
        <f t="shared" si="1"/>
        <v/>
      </c>
    </row>
    <row r="404">
      <c r="A404" s="47"/>
      <c r="C404" s="48"/>
      <c r="D404" s="49"/>
      <c r="E404" s="50"/>
      <c r="F404" s="51"/>
      <c r="G404" s="52"/>
      <c r="H404" s="53" t="str">
        <f t="shared" si="1"/>
        <v/>
      </c>
    </row>
    <row r="405">
      <c r="A405" s="47"/>
      <c r="C405" s="48"/>
      <c r="D405" s="49"/>
      <c r="E405" s="50"/>
      <c r="F405" s="51"/>
      <c r="G405" s="52"/>
      <c r="H405" s="53" t="str">
        <f t="shared" si="1"/>
        <v/>
      </c>
    </row>
    <row r="406">
      <c r="A406" s="47"/>
      <c r="C406" s="48"/>
      <c r="D406" s="49"/>
      <c r="E406" s="50"/>
      <c r="F406" s="51"/>
      <c r="G406" s="52"/>
      <c r="H406" s="53" t="str">
        <f t="shared" si="1"/>
        <v/>
      </c>
    </row>
    <row r="407">
      <c r="A407" s="47"/>
      <c r="C407" s="48"/>
      <c r="D407" s="49"/>
      <c r="E407" s="50"/>
      <c r="F407" s="51"/>
      <c r="G407" s="52"/>
      <c r="H407" s="53" t="str">
        <f t="shared" si="1"/>
        <v/>
      </c>
    </row>
    <row r="408">
      <c r="A408" s="47"/>
      <c r="C408" s="48"/>
      <c r="D408" s="49"/>
      <c r="E408" s="50"/>
      <c r="F408" s="51"/>
      <c r="G408" s="52"/>
      <c r="H408" s="53" t="str">
        <f t="shared" si="1"/>
        <v/>
      </c>
    </row>
    <row r="409">
      <c r="A409" s="47"/>
      <c r="C409" s="48"/>
      <c r="D409" s="49"/>
      <c r="E409" s="50"/>
      <c r="F409" s="51"/>
      <c r="G409" s="52"/>
      <c r="H409" s="53" t="str">
        <f t="shared" si="1"/>
        <v/>
      </c>
    </row>
    <row r="410">
      <c r="A410" s="47"/>
      <c r="C410" s="48"/>
      <c r="D410" s="49"/>
      <c r="E410" s="50"/>
      <c r="F410" s="51"/>
      <c r="G410" s="52"/>
      <c r="H410" s="53" t="str">
        <f t="shared" si="1"/>
        <v/>
      </c>
    </row>
    <row r="411">
      <c r="A411" s="47"/>
      <c r="C411" s="48"/>
      <c r="D411" s="49"/>
      <c r="E411" s="50"/>
      <c r="F411" s="51"/>
      <c r="G411" s="52"/>
      <c r="H411" s="53" t="str">
        <f t="shared" si="1"/>
        <v/>
      </c>
    </row>
    <row r="412">
      <c r="A412" s="47"/>
      <c r="C412" s="48"/>
      <c r="D412" s="49"/>
      <c r="E412" s="50"/>
      <c r="F412" s="51"/>
      <c r="G412" s="52"/>
      <c r="H412" s="53" t="str">
        <f t="shared" si="1"/>
        <v/>
      </c>
    </row>
    <row r="413">
      <c r="A413" s="47"/>
      <c r="C413" s="48"/>
      <c r="D413" s="49"/>
      <c r="E413" s="50"/>
      <c r="F413" s="51"/>
      <c r="G413" s="52"/>
      <c r="H413" s="53" t="str">
        <f t="shared" si="1"/>
        <v/>
      </c>
    </row>
    <row r="414">
      <c r="A414" s="47"/>
      <c r="C414" s="48"/>
      <c r="D414" s="49"/>
      <c r="E414" s="50"/>
      <c r="F414" s="51"/>
      <c r="G414" s="52"/>
      <c r="H414" s="53" t="str">
        <f t="shared" si="1"/>
        <v/>
      </c>
    </row>
    <row r="415">
      <c r="A415" s="47"/>
      <c r="C415" s="48"/>
      <c r="D415" s="49"/>
      <c r="E415" s="50"/>
      <c r="F415" s="51"/>
      <c r="G415" s="52"/>
      <c r="H415" s="53" t="str">
        <f t="shared" si="1"/>
        <v/>
      </c>
    </row>
    <row r="416">
      <c r="A416" s="47"/>
      <c r="C416" s="48"/>
      <c r="D416" s="49"/>
      <c r="E416" s="50"/>
      <c r="F416" s="51"/>
      <c r="G416" s="52"/>
      <c r="H416" s="53" t="str">
        <f t="shared" si="1"/>
        <v/>
      </c>
    </row>
    <row r="417">
      <c r="A417" s="47"/>
      <c r="C417" s="48"/>
      <c r="D417" s="49"/>
      <c r="E417" s="50"/>
      <c r="F417" s="51"/>
      <c r="G417" s="52"/>
      <c r="H417" s="53" t="str">
        <f t="shared" si="1"/>
        <v/>
      </c>
    </row>
    <row r="418">
      <c r="A418" s="47"/>
      <c r="C418" s="48"/>
      <c r="D418" s="49"/>
      <c r="E418" s="50"/>
      <c r="F418" s="51"/>
      <c r="G418" s="52"/>
      <c r="H418" s="53" t="str">
        <f t="shared" si="1"/>
        <v/>
      </c>
    </row>
    <row r="419">
      <c r="A419" s="47"/>
      <c r="C419" s="48"/>
      <c r="D419" s="49"/>
      <c r="E419" s="50"/>
      <c r="F419" s="51"/>
      <c r="G419" s="52"/>
      <c r="H419" s="53" t="str">
        <f t="shared" si="1"/>
        <v/>
      </c>
    </row>
    <row r="420">
      <c r="A420" s="47"/>
      <c r="C420" s="48"/>
      <c r="D420" s="49"/>
      <c r="E420" s="50"/>
      <c r="F420" s="51"/>
      <c r="G420" s="52"/>
      <c r="H420" s="53" t="str">
        <f t="shared" si="1"/>
        <v/>
      </c>
    </row>
    <row r="421">
      <c r="A421" s="47"/>
      <c r="C421" s="48"/>
      <c r="D421" s="49"/>
      <c r="E421" s="50"/>
      <c r="F421" s="51"/>
      <c r="G421" s="52"/>
      <c r="H421" s="53" t="str">
        <f t="shared" si="1"/>
        <v/>
      </c>
    </row>
    <row r="422">
      <c r="A422" s="47"/>
      <c r="C422" s="48"/>
      <c r="D422" s="49"/>
      <c r="E422" s="50"/>
      <c r="F422" s="51"/>
      <c r="G422" s="52"/>
      <c r="H422" s="53" t="str">
        <f t="shared" si="1"/>
        <v/>
      </c>
    </row>
    <row r="423">
      <c r="A423" s="47"/>
      <c r="C423" s="48"/>
      <c r="D423" s="49"/>
      <c r="E423" s="50"/>
      <c r="F423" s="51"/>
      <c r="G423" s="52"/>
      <c r="H423" s="53" t="str">
        <f t="shared" si="1"/>
        <v/>
      </c>
    </row>
    <row r="424">
      <c r="A424" s="47"/>
      <c r="C424" s="48"/>
      <c r="D424" s="49"/>
      <c r="E424" s="50"/>
      <c r="F424" s="51"/>
      <c r="G424" s="52"/>
      <c r="H424" s="53" t="str">
        <f t="shared" si="1"/>
        <v/>
      </c>
    </row>
    <row r="425">
      <c r="A425" s="47"/>
      <c r="C425" s="48"/>
      <c r="D425" s="49"/>
      <c r="E425" s="50"/>
      <c r="F425" s="51"/>
      <c r="G425" s="52"/>
      <c r="H425" s="53" t="str">
        <f t="shared" si="1"/>
        <v/>
      </c>
    </row>
    <row r="426">
      <c r="A426" s="47"/>
      <c r="C426" s="48"/>
      <c r="D426" s="49"/>
      <c r="E426" s="50"/>
      <c r="F426" s="51"/>
      <c r="G426" s="52"/>
      <c r="H426" s="53" t="str">
        <f t="shared" si="1"/>
        <v/>
      </c>
    </row>
    <row r="427">
      <c r="A427" s="47"/>
      <c r="C427" s="48"/>
      <c r="D427" s="49"/>
      <c r="E427" s="50"/>
      <c r="F427" s="51"/>
      <c r="G427" s="52"/>
      <c r="H427" s="53" t="str">
        <f t="shared" si="1"/>
        <v/>
      </c>
    </row>
    <row r="428">
      <c r="A428" s="47"/>
      <c r="C428" s="48"/>
      <c r="D428" s="49"/>
      <c r="E428" s="50"/>
      <c r="F428" s="51"/>
      <c r="G428" s="52"/>
      <c r="H428" s="53" t="str">
        <f t="shared" si="1"/>
        <v/>
      </c>
    </row>
    <row r="429">
      <c r="A429" s="47"/>
      <c r="C429" s="48"/>
      <c r="D429" s="49"/>
      <c r="E429" s="50"/>
      <c r="F429" s="51"/>
      <c r="G429" s="52"/>
      <c r="H429" s="53" t="str">
        <f t="shared" si="1"/>
        <v/>
      </c>
    </row>
    <row r="430">
      <c r="A430" s="47"/>
      <c r="C430" s="48"/>
      <c r="D430" s="49"/>
      <c r="E430" s="50"/>
      <c r="F430" s="51"/>
      <c r="G430" s="52"/>
      <c r="H430" s="53" t="str">
        <f t="shared" si="1"/>
        <v/>
      </c>
    </row>
    <row r="431">
      <c r="A431" s="47"/>
      <c r="C431" s="48"/>
      <c r="D431" s="49"/>
      <c r="E431" s="50"/>
      <c r="F431" s="51"/>
      <c r="G431" s="52"/>
      <c r="H431" s="53" t="str">
        <f t="shared" si="1"/>
        <v/>
      </c>
    </row>
    <row r="432">
      <c r="A432" s="47"/>
      <c r="C432" s="48"/>
      <c r="D432" s="49"/>
      <c r="E432" s="50"/>
      <c r="F432" s="51"/>
      <c r="G432" s="52"/>
      <c r="H432" s="53" t="str">
        <f t="shared" si="1"/>
        <v/>
      </c>
    </row>
    <row r="433">
      <c r="A433" s="47"/>
      <c r="C433" s="48"/>
      <c r="D433" s="49"/>
      <c r="E433" s="50"/>
      <c r="F433" s="51"/>
      <c r="G433" s="52"/>
      <c r="H433" s="53" t="str">
        <f t="shared" si="1"/>
        <v/>
      </c>
    </row>
    <row r="434">
      <c r="A434" s="47"/>
      <c r="C434" s="48"/>
      <c r="D434" s="49"/>
      <c r="E434" s="50"/>
      <c r="F434" s="51"/>
      <c r="G434" s="52"/>
      <c r="H434" s="53" t="str">
        <f t="shared" si="1"/>
        <v/>
      </c>
    </row>
    <row r="435">
      <c r="A435" s="47"/>
      <c r="C435" s="48"/>
      <c r="D435" s="49"/>
      <c r="E435" s="50"/>
      <c r="F435" s="51"/>
      <c r="G435" s="52"/>
      <c r="H435" s="53" t="str">
        <f t="shared" si="1"/>
        <v/>
      </c>
    </row>
    <row r="436">
      <c r="A436" s="47"/>
      <c r="C436" s="48"/>
      <c r="D436" s="49"/>
      <c r="E436" s="50"/>
      <c r="F436" s="51"/>
      <c r="G436" s="52"/>
      <c r="H436" s="53" t="str">
        <f t="shared" si="1"/>
        <v/>
      </c>
    </row>
    <row r="437">
      <c r="A437" s="47"/>
      <c r="C437" s="48"/>
      <c r="D437" s="49"/>
      <c r="E437" s="50"/>
      <c r="F437" s="51"/>
      <c r="G437" s="52"/>
      <c r="H437" s="53" t="str">
        <f t="shared" si="1"/>
        <v/>
      </c>
    </row>
    <row r="438">
      <c r="A438" s="47"/>
      <c r="C438" s="48"/>
      <c r="D438" s="49"/>
      <c r="E438" s="50"/>
      <c r="F438" s="51"/>
      <c r="G438" s="52"/>
      <c r="H438" s="53" t="str">
        <f t="shared" si="1"/>
        <v/>
      </c>
    </row>
    <row r="439">
      <c r="A439" s="47"/>
      <c r="C439" s="48"/>
      <c r="D439" s="49"/>
      <c r="E439" s="50"/>
      <c r="F439" s="51"/>
      <c r="G439" s="52"/>
      <c r="H439" s="53" t="str">
        <f t="shared" si="1"/>
        <v/>
      </c>
    </row>
    <row r="440">
      <c r="A440" s="47"/>
      <c r="C440" s="48"/>
      <c r="D440" s="49"/>
      <c r="E440" s="50"/>
      <c r="F440" s="51"/>
      <c r="G440" s="52"/>
      <c r="H440" s="53" t="str">
        <f t="shared" si="1"/>
        <v/>
      </c>
    </row>
    <row r="441">
      <c r="A441" s="47"/>
      <c r="C441" s="48"/>
      <c r="D441" s="49"/>
      <c r="E441" s="50"/>
      <c r="F441" s="51"/>
      <c r="G441" s="52"/>
      <c r="H441" s="53" t="str">
        <f t="shared" si="1"/>
        <v/>
      </c>
    </row>
    <row r="442">
      <c r="A442" s="47"/>
      <c r="C442" s="48"/>
      <c r="D442" s="49"/>
      <c r="E442" s="50"/>
      <c r="F442" s="51"/>
      <c r="G442" s="52"/>
      <c r="H442" s="53" t="str">
        <f t="shared" si="1"/>
        <v/>
      </c>
    </row>
    <row r="443">
      <c r="A443" s="47"/>
      <c r="C443" s="48"/>
      <c r="D443" s="49"/>
      <c r="E443" s="50"/>
      <c r="F443" s="51"/>
      <c r="G443" s="52"/>
      <c r="H443" s="53" t="str">
        <f t="shared" si="1"/>
        <v/>
      </c>
    </row>
    <row r="444">
      <c r="A444" s="47"/>
      <c r="C444" s="48"/>
      <c r="D444" s="49"/>
      <c r="E444" s="50"/>
      <c r="F444" s="51"/>
      <c r="G444" s="52"/>
      <c r="H444" s="53" t="str">
        <f t="shared" si="1"/>
        <v/>
      </c>
    </row>
    <row r="445">
      <c r="A445" s="47"/>
      <c r="C445" s="48"/>
      <c r="D445" s="49"/>
      <c r="E445" s="50"/>
      <c r="F445" s="51"/>
      <c r="G445" s="52"/>
      <c r="H445" s="53" t="str">
        <f t="shared" si="1"/>
        <v/>
      </c>
    </row>
    <row r="446">
      <c r="A446" s="47"/>
      <c r="C446" s="48"/>
      <c r="D446" s="49"/>
      <c r="E446" s="50"/>
      <c r="F446" s="51"/>
      <c r="G446" s="52"/>
      <c r="H446" s="53" t="str">
        <f t="shared" si="1"/>
        <v/>
      </c>
    </row>
    <row r="447">
      <c r="A447" s="47"/>
      <c r="C447" s="48"/>
      <c r="D447" s="49"/>
      <c r="E447" s="50"/>
      <c r="F447" s="51"/>
      <c r="G447" s="52"/>
      <c r="H447" s="53" t="str">
        <f t="shared" si="1"/>
        <v/>
      </c>
    </row>
    <row r="448">
      <c r="A448" s="47"/>
      <c r="C448" s="48"/>
      <c r="D448" s="49"/>
      <c r="E448" s="50"/>
      <c r="F448" s="51"/>
      <c r="G448" s="52"/>
      <c r="H448" s="53" t="str">
        <f t="shared" si="1"/>
        <v/>
      </c>
    </row>
    <row r="449">
      <c r="A449" s="47"/>
      <c r="C449" s="48"/>
      <c r="D449" s="49"/>
      <c r="E449" s="50"/>
      <c r="F449" s="51"/>
      <c r="G449" s="52"/>
      <c r="H449" s="53" t="str">
        <f t="shared" si="1"/>
        <v/>
      </c>
    </row>
    <row r="450">
      <c r="A450" s="47"/>
      <c r="C450" s="48"/>
      <c r="D450" s="49"/>
      <c r="E450" s="50"/>
      <c r="F450" s="51"/>
      <c r="G450" s="52"/>
      <c r="H450" s="53" t="str">
        <f t="shared" si="1"/>
        <v/>
      </c>
    </row>
    <row r="451">
      <c r="A451" s="47"/>
      <c r="C451" s="48"/>
      <c r="D451" s="49"/>
      <c r="E451" s="50"/>
      <c r="F451" s="51"/>
      <c r="G451" s="52"/>
      <c r="H451" s="53" t="str">
        <f t="shared" si="1"/>
        <v/>
      </c>
    </row>
    <row r="452">
      <c r="A452" s="47"/>
      <c r="C452" s="48"/>
      <c r="D452" s="49"/>
      <c r="E452" s="50"/>
      <c r="F452" s="51"/>
      <c r="G452" s="52"/>
      <c r="H452" s="53" t="str">
        <f t="shared" si="1"/>
        <v/>
      </c>
    </row>
    <row r="453">
      <c r="A453" s="47"/>
      <c r="C453" s="48"/>
      <c r="D453" s="49"/>
      <c r="E453" s="50"/>
      <c r="F453" s="51"/>
      <c r="G453" s="52"/>
      <c r="H453" s="53" t="str">
        <f t="shared" si="1"/>
        <v/>
      </c>
    </row>
    <row r="454">
      <c r="A454" s="47"/>
      <c r="C454" s="48"/>
      <c r="D454" s="49"/>
      <c r="E454" s="50"/>
      <c r="F454" s="51"/>
      <c r="G454" s="52"/>
      <c r="H454" s="53" t="str">
        <f t="shared" si="1"/>
        <v/>
      </c>
    </row>
    <row r="455">
      <c r="A455" s="47"/>
      <c r="C455" s="48"/>
      <c r="D455" s="49"/>
      <c r="E455" s="50"/>
      <c r="F455" s="51"/>
      <c r="G455" s="52"/>
      <c r="H455" s="53" t="str">
        <f t="shared" si="1"/>
        <v/>
      </c>
    </row>
    <row r="456">
      <c r="A456" s="47"/>
      <c r="C456" s="48"/>
      <c r="D456" s="49"/>
      <c r="E456" s="50"/>
      <c r="F456" s="51"/>
      <c r="G456" s="52"/>
      <c r="H456" s="53" t="str">
        <f t="shared" si="1"/>
        <v/>
      </c>
    </row>
    <row r="457">
      <c r="A457" s="47"/>
      <c r="C457" s="48"/>
      <c r="D457" s="49"/>
      <c r="E457" s="50"/>
      <c r="F457" s="51"/>
      <c r="G457" s="52"/>
      <c r="H457" s="53" t="str">
        <f t="shared" si="1"/>
        <v/>
      </c>
    </row>
    <row r="458">
      <c r="A458" s="47"/>
      <c r="C458" s="48"/>
      <c r="D458" s="49"/>
      <c r="E458" s="50"/>
      <c r="F458" s="51"/>
      <c r="G458" s="52"/>
      <c r="H458" s="53" t="str">
        <f t="shared" si="1"/>
        <v/>
      </c>
    </row>
    <row r="459">
      <c r="A459" s="47"/>
      <c r="C459" s="48"/>
      <c r="D459" s="49"/>
      <c r="E459" s="50"/>
      <c r="F459" s="51"/>
      <c r="G459" s="52"/>
      <c r="H459" s="53" t="str">
        <f t="shared" si="1"/>
        <v/>
      </c>
    </row>
    <row r="460">
      <c r="A460" s="47"/>
      <c r="C460" s="48"/>
      <c r="D460" s="49"/>
      <c r="E460" s="50"/>
      <c r="F460" s="51"/>
      <c r="G460" s="52"/>
      <c r="H460" s="53" t="str">
        <f t="shared" si="1"/>
        <v/>
      </c>
    </row>
    <row r="461">
      <c r="A461" s="47"/>
      <c r="C461" s="48"/>
      <c r="D461" s="49"/>
      <c r="E461" s="50"/>
      <c r="F461" s="51"/>
      <c r="G461" s="52"/>
      <c r="H461" s="53" t="str">
        <f t="shared" si="1"/>
        <v/>
      </c>
    </row>
    <row r="462">
      <c r="A462" s="47"/>
      <c r="C462" s="48"/>
      <c r="D462" s="49"/>
      <c r="E462" s="50"/>
      <c r="F462" s="51"/>
      <c r="G462" s="52"/>
      <c r="H462" s="53" t="str">
        <f t="shared" si="1"/>
        <v/>
      </c>
    </row>
    <row r="463">
      <c r="A463" s="47"/>
      <c r="C463" s="48"/>
      <c r="D463" s="49"/>
      <c r="E463" s="50"/>
      <c r="F463" s="51"/>
      <c r="G463" s="52"/>
      <c r="H463" s="53" t="str">
        <f t="shared" si="1"/>
        <v/>
      </c>
    </row>
    <row r="464">
      <c r="A464" s="47"/>
      <c r="C464" s="48"/>
      <c r="D464" s="49"/>
      <c r="E464" s="50"/>
      <c r="F464" s="51"/>
      <c r="G464" s="52"/>
      <c r="H464" s="53" t="str">
        <f t="shared" si="1"/>
        <v/>
      </c>
    </row>
    <row r="465">
      <c r="A465" s="47"/>
      <c r="C465" s="48"/>
      <c r="D465" s="49"/>
      <c r="E465" s="50"/>
      <c r="F465" s="51"/>
      <c r="G465" s="52"/>
      <c r="H465" s="53" t="str">
        <f t="shared" si="1"/>
        <v/>
      </c>
    </row>
    <row r="466">
      <c r="A466" s="47"/>
      <c r="C466" s="48"/>
      <c r="D466" s="49"/>
      <c r="E466" s="50"/>
      <c r="F466" s="51"/>
      <c r="G466" s="52"/>
      <c r="H466" s="53" t="str">
        <f t="shared" si="1"/>
        <v/>
      </c>
    </row>
    <row r="467">
      <c r="A467" s="47"/>
      <c r="C467" s="48"/>
      <c r="D467" s="49"/>
      <c r="E467" s="50"/>
      <c r="F467" s="51"/>
      <c r="G467" s="52"/>
      <c r="H467" s="53" t="str">
        <f t="shared" si="1"/>
        <v/>
      </c>
    </row>
    <row r="468">
      <c r="A468" s="47"/>
      <c r="C468" s="48"/>
      <c r="D468" s="49"/>
      <c r="E468" s="50"/>
      <c r="F468" s="51"/>
      <c r="G468" s="52"/>
      <c r="H468" s="53" t="str">
        <f t="shared" si="1"/>
        <v/>
      </c>
    </row>
    <row r="469">
      <c r="A469" s="47"/>
      <c r="C469" s="48"/>
      <c r="D469" s="49"/>
      <c r="E469" s="50"/>
      <c r="F469" s="51"/>
      <c r="G469" s="52"/>
      <c r="H469" s="53" t="str">
        <f t="shared" si="1"/>
        <v/>
      </c>
    </row>
    <row r="470">
      <c r="A470" s="47"/>
      <c r="C470" s="48"/>
      <c r="D470" s="49"/>
      <c r="E470" s="50"/>
      <c r="F470" s="51"/>
      <c r="G470" s="52"/>
      <c r="H470" s="53" t="str">
        <f t="shared" si="1"/>
        <v/>
      </c>
    </row>
    <row r="471">
      <c r="A471" s="47"/>
      <c r="C471" s="48"/>
      <c r="D471" s="49"/>
      <c r="E471" s="50"/>
      <c r="F471" s="51"/>
      <c r="G471" s="52"/>
      <c r="H471" s="53" t="str">
        <f t="shared" si="1"/>
        <v/>
      </c>
    </row>
    <row r="472">
      <c r="A472" s="47"/>
      <c r="C472" s="48"/>
      <c r="D472" s="49"/>
      <c r="E472" s="50"/>
      <c r="F472" s="51"/>
      <c r="G472" s="52"/>
      <c r="H472" s="53" t="str">
        <f t="shared" si="1"/>
        <v/>
      </c>
    </row>
    <row r="473">
      <c r="A473" s="47"/>
      <c r="C473" s="48"/>
      <c r="D473" s="49"/>
      <c r="E473" s="50"/>
      <c r="F473" s="51"/>
      <c r="G473" s="52"/>
      <c r="H473" s="53" t="str">
        <f t="shared" si="1"/>
        <v/>
      </c>
    </row>
    <row r="474">
      <c r="A474" s="47"/>
      <c r="C474" s="48"/>
      <c r="D474" s="49"/>
      <c r="E474" s="50"/>
      <c r="F474" s="51"/>
      <c r="G474" s="52"/>
      <c r="H474" s="53" t="str">
        <f t="shared" si="1"/>
        <v/>
      </c>
    </row>
    <row r="475">
      <c r="A475" s="47"/>
      <c r="C475" s="48"/>
      <c r="D475" s="49"/>
      <c r="E475" s="50"/>
      <c r="F475" s="51"/>
      <c r="G475" s="52"/>
      <c r="H475" s="53" t="str">
        <f t="shared" si="1"/>
        <v/>
      </c>
    </row>
    <row r="476">
      <c r="A476" s="47"/>
      <c r="C476" s="48"/>
      <c r="D476" s="49"/>
      <c r="E476" s="50"/>
      <c r="F476" s="51"/>
      <c r="G476" s="52"/>
      <c r="H476" s="53" t="str">
        <f t="shared" si="1"/>
        <v/>
      </c>
    </row>
    <row r="477">
      <c r="A477" s="47"/>
      <c r="C477" s="48"/>
      <c r="D477" s="49"/>
      <c r="E477" s="50"/>
      <c r="F477" s="51"/>
      <c r="G477" s="52"/>
      <c r="H477" s="53" t="str">
        <f t="shared" si="1"/>
        <v/>
      </c>
    </row>
    <row r="478">
      <c r="A478" s="47"/>
      <c r="C478" s="48"/>
      <c r="D478" s="49"/>
      <c r="E478" s="50"/>
      <c r="F478" s="51"/>
      <c r="G478" s="52"/>
      <c r="H478" s="53" t="str">
        <f t="shared" si="1"/>
        <v/>
      </c>
    </row>
    <row r="479">
      <c r="A479" s="47"/>
      <c r="C479" s="48"/>
      <c r="D479" s="49"/>
      <c r="E479" s="50"/>
      <c r="F479" s="51"/>
      <c r="G479" s="52"/>
      <c r="H479" s="53" t="str">
        <f t="shared" si="1"/>
        <v/>
      </c>
    </row>
    <row r="480">
      <c r="A480" s="47"/>
      <c r="C480" s="48"/>
      <c r="D480" s="49"/>
      <c r="E480" s="50"/>
      <c r="F480" s="51"/>
      <c r="G480" s="52"/>
      <c r="H480" s="53" t="str">
        <f t="shared" si="1"/>
        <v/>
      </c>
    </row>
    <row r="481">
      <c r="A481" s="47"/>
      <c r="C481" s="48"/>
      <c r="D481" s="49"/>
      <c r="E481" s="50"/>
      <c r="F481" s="51"/>
      <c r="G481" s="52"/>
      <c r="H481" s="53" t="str">
        <f t="shared" si="1"/>
        <v/>
      </c>
    </row>
    <row r="482">
      <c r="A482" s="47"/>
      <c r="C482" s="48"/>
      <c r="D482" s="49"/>
      <c r="E482" s="50"/>
      <c r="F482" s="51"/>
      <c r="G482" s="52"/>
      <c r="H482" s="53" t="str">
        <f t="shared" si="1"/>
        <v/>
      </c>
    </row>
    <row r="483">
      <c r="A483" s="47"/>
      <c r="C483" s="48"/>
      <c r="D483" s="49"/>
      <c r="E483" s="50"/>
      <c r="F483" s="51"/>
      <c r="G483" s="52"/>
      <c r="H483" s="53" t="str">
        <f t="shared" si="1"/>
        <v/>
      </c>
    </row>
    <row r="484">
      <c r="A484" s="47"/>
      <c r="C484" s="48"/>
      <c r="D484" s="49"/>
      <c r="E484" s="50"/>
      <c r="F484" s="51"/>
      <c r="G484" s="52"/>
      <c r="H484" s="53" t="str">
        <f t="shared" si="1"/>
        <v/>
      </c>
    </row>
    <row r="485">
      <c r="A485" s="47"/>
      <c r="C485" s="48"/>
      <c r="D485" s="49"/>
      <c r="E485" s="50"/>
      <c r="F485" s="51"/>
      <c r="G485" s="52"/>
      <c r="H485" s="53" t="str">
        <f t="shared" si="1"/>
        <v/>
      </c>
    </row>
    <row r="486">
      <c r="A486" s="47"/>
      <c r="C486" s="48"/>
      <c r="D486" s="49"/>
      <c r="E486" s="50"/>
      <c r="F486" s="51"/>
      <c r="G486" s="52"/>
      <c r="H486" s="53" t="str">
        <f t="shared" si="1"/>
        <v/>
      </c>
    </row>
    <row r="487">
      <c r="A487" s="47"/>
      <c r="C487" s="48"/>
      <c r="D487" s="49"/>
      <c r="E487" s="50"/>
      <c r="F487" s="51"/>
      <c r="G487" s="52"/>
      <c r="H487" s="53" t="str">
        <f t="shared" si="1"/>
        <v/>
      </c>
    </row>
    <row r="488">
      <c r="A488" s="47"/>
      <c r="C488" s="48"/>
      <c r="D488" s="49"/>
      <c r="E488" s="50"/>
      <c r="F488" s="51"/>
      <c r="G488" s="52"/>
      <c r="H488" s="53" t="str">
        <f t="shared" si="1"/>
        <v/>
      </c>
    </row>
    <row r="489">
      <c r="A489" s="47"/>
      <c r="C489" s="48"/>
      <c r="D489" s="49"/>
      <c r="E489" s="50"/>
      <c r="F489" s="51"/>
      <c r="G489" s="52"/>
      <c r="H489" s="53" t="str">
        <f t="shared" si="1"/>
        <v/>
      </c>
    </row>
    <row r="490">
      <c r="A490" s="47"/>
      <c r="C490" s="48"/>
      <c r="D490" s="49"/>
      <c r="E490" s="50"/>
      <c r="F490" s="51"/>
      <c r="G490" s="52"/>
      <c r="H490" s="53" t="str">
        <f t="shared" si="1"/>
        <v/>
      </c>
    </row>
    <row r="491">
      <c r="A491" s="47"/>
      <c r="C491" s="48"/>
      <c r="D491" s="49"/>
      <c r="E491" s="50"/>
      <c r="F491" s="51"/>
      <c r="G491" s="52"/>
      <c r="H491" s="53" t="str">
        <f t="shared" si="1"/>
        <v/>
      </c>
    </row>
    <row r="492">
      <c r="A492" s="47"/>
      <c r="C492" s="48"/>
      <c r="D492" s="49"/>
      <c r="E492" s="50"/>
      <c r="F492" s="51"/>
      <c r="G492" s="52"/>
      <c r="H492" s="53" t="str">
        <f t="shared" si="1"/>
        <v/>
      </c>
    </row>
    <row r="493">
      <c r="A493" s="47"/>
      <c r="C493" s="48"/>
      <c r="D493" s="49"/>
      <c r="E493" s="50"/>
      <c r="F493" s="51"/>
      <c r="G493" s="52"/>
      <c r="H493" s="53" t="str">
        <f t="shared" si="1"/>
        <v/>
      </c>
    </row>
    <row r="494">
      <c r="A494" s="47"/>
      <c r="C494" s="48"/>
      <c r="D494" s="49"/>
      <c r="E494" s="50"/>
      <c r="F494" s="51"/>
      <c r="G494" s="52"/>
      <c r="H494" s="53" t="str">
        <f t="shared" si="1"/>
        <v/>
      </c>
    </row>
    <row r="495">
      <c r="A495" s="47"/>
      <c r="C495" s="48"/>
      <c r="D495" s="49"/>
      <c r="E495" s="50"/>
      <c r="F495" s="51"/>
      <c r="G495" s="52"/>
      <c r="H495" s="53" t="str">
        <f t="shared" si="1"/>
        <v/>
      </c>
    </row>
    <row r="496">
      <c r="A496" s="47"/>
      <c r="C496" s="48"/>
      <c r="D496" s="49"/>
      <c r="E496" s="50"/>
      <c r="F496" s="51"/>
      <c r="G496" s="52"/>
      <c r="H496" s="53" t="str">
        <f t="shared" si="1"/>
        <v/>
      </c>
    </row>
    <row r="497">
      <c r="A497" s="47"/>
      <c r="C497" s="48"/>
      <c r="D497" s="49"/>
      <c r="E497" s="50"/>
      <c r="F497" s="51"/>
      <c r="G497" s="52"/>
      <c r="H497" s="53" t="str">
        <f t="shared" si="1"/>
        <v/>
      </c>
    </row>
    <row r="498">
      <c r="A498" s="47"/>
      <c r="C498" s="48"/>
      <c r="D498" s="49"/>
      <c r="E498" s="50"/>
      <c r="F498" s="51"/>
      <c r="G498" s="52"/>
      <c r="H498" s="53" t="str">
        <f t="shared" si="1"/>
        <v/>
      </c>
    </row>
    <row r="499">
      <c r="A499" s="47"/>
      <c r="C499" s="48"/>
      <c r="D499" s="49"/>
      <c r="E499" s="50"/>
      <c r="F499" s="51"/>
      <c r="G499" s="52"/>
      <c r="H499" s="53" t="str">
        <f t="shared" si="1"/>
        <v/>
      </c>
    </row>
    <row r="500">
      <c r="A500" s="47"/>
      <c r="C500" s="48"/>
      <c r="D500" s="49"/>
      <c r="E500" s="50"/>
      <c r="F500" s="51"/>
      <c r="G500" s="52"/>
      <c r="H500" s="53" t="str">
        <f t="shared" si="1"/>
        <v/>
      </c>
    </row>
    <row r="501">
      <c r="A501" s="47"/>
      <c r="C501" s="48"/>
      <c r="D501" s="49"/>
      <c r="E501" s="50"/>
      <c r="F501" s="51"/>
      <c r="G501" s="52"/>
      <c r="H501" s="53" t="str">
        <f t="shared" si="1"/>
        <v/>
      </c>
    </row>
    <row r="502">
      <c r="A502" s="47"/>
      <c r="C502" s="48"/>
      <c r="D502" s="49"/>
      <c r="E502" s="50"/>
      <c r="F502" s="51"/>
      <c r="G502" s="52"/>
      <c r="H502" s="53" t="str">
        <f t="shared" si="1"/>
        <v/>
      </c>
    </row>
    <row r="503">
      <c r="A503" s="47"/>
      <c r="C503" s="48"/>
      <c r="D503" s="49"/>
      <c r="E503" s="50"/>
      <c r="F503" s="51"/>
      <c r="G503" s="52"/>
      <c r="H503" s="53" t="str">
        <f t="shared" si="1"/>
        <v/>
      </c>
    </row>
    <row r="504">
      <c r="A504" s="47"/>
      <c r="C504" s="48"/>
      <c r="D504" s="49"/>
      <c r="E504" s="50"/>
      <c r="F504" s="51"/>
      <c r="G504" s="52"/>
      <c r="H504" s="53" t="str">
        <f t="shared" si="1"/>
        <v/>
      </c>
    </row>
    <row r="505">
      <c r="A505" s="47"/>
      <c r="C505" s="48"/>
      <c r="D505" s="49"/>
      <c r="E505" s="50"/>
      <c r="F505" s="51"/>
      <c r="G505" s="52"/>
      <c r="H505" s="53" t="str">
        <f t="shared" si="1"/>
        <v/>
      </c>
    </row>
    <row r="506">
      <c r="A506" s="47"/>
      <c r="C506" s="48"/>
      <c r="D506" s="49"/>
      <c r="E506" s="50"/>
      <c r="F506" s="51"/>
      <c r="G506" s="52"/>
      <c r="H506" s="53" t="str">
        <f t="shared" si="1"/>
        <v/>
      </c>
    </row>
    <row r="507">
      <c r="A507" s="47"/>
      <c r="C507" s="48"/>
      <c r="D507" s="49"/>
      <c r="E507" s="50"/>
      <c r="F507" s="51"/>
      <c r="G507" s="52"/>
      <c r="H507" s="53" t="str">
        <f t="shared" si="1"/>
        <v/>
      </c>
    </row>
    <row r="508">
      <c r="A508" s="47"/>
      <c r="C508" s="48"/>
      <c r="D508" s="49"/>
      <c r="E508" s="50"/>
      <c r="F508" s="51"/>
      <c r="G508" s="52"/>
      <c r="H508" s="53" t="str">
        <f t="shared" si="1"/>
        <v/>
      </c>
    </row>
    <row r="509">
      <c r="A509" s="47"/>
      <c r="C509" s="48"/>
      <c r="D509" s="49"/>
      <c r="E509" s="50"/>
      <c r="F509" s="51"/>
      <c r="G509" s="52"/>
      <c r="H509" s="53" t="str">
        <f t="shared" si="1"/>
        <v/>
      </c>
    </row>
    <row r="510">
      <c r="A510" s="47"/>
      <c r="C510" s="48"/>
      <c r="D510" s="49"/>
      <c r="E510" s="50"/>
      <c r="F510" s="51"/>
      <c r="G510" s="52"/>
      <c r="H510" s="53" t="str">
        <f t="shared" si="1"/>
        <v/>
      </c>
    </row>
  </sheetData>
  <autoFilter ref="$A$1:$H$510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2.75"/>
  <cols>
    <col customWidth="1" min="3" max="3" width="18.29"/>
    <col customWidth="1" min="4" max="4" width="21.71"/>
    <col customWidth="1" min="5" max="5" width="73.29"/>
  </cols>
  <sheetData>
    <row r="1">
      <c r="A1" s="56" t="s">
        <v>123</v>
      </c>
      <c r="B1" s="56" t="s">
        <v>124</v>
      </c>
      <c r="C1" s="56" t="s">
        <v>125</v>
      </c>
      <c r="D1" s="56" t="s">
        <v>126</v>
      </c>
      <c r="E1" s="56" t="s">
        <v>127</v>
      </c>
    </row>
    <row r="2">
      <c r="A2" s="57">
        <f t="array" ref="A2">IF(ISNUMBER(INDEX(Investment!$T:$T,ROWS(Investment!$T:$T))),COUNTIFS(Investment!$W2:$W5,"&lt;&gt;HOLD*",Investment!$T2:$T5,"&lt;&gt;0"),0)</f>
        <v>0</v>
      </c>
      <c r="B2" s="58"/>
      <c r="C2" s="59"/>
      <c r="D2" s="55" t="s">
        <v>131</v>
      </c>
      <c r="E2" s="55" t="s">
        <v>132</v>
      </c>
    </row>
    <row r="3">
      <c r="A3" s="57">
        <f>IF(DateTime!$B$12,COUNTIFS(Investment!$AM2:$AM5,"&gt;"&amp;TIME(0,15,0),Investment!$AM2:$AM5,"&lt;"&amp;TIME(0,30,0)),0)</f>
        <v>0</v>
      </c>
      <c r="B3" s="58"/>
      <c r="C3" s="59"/>
      <c r="D3" s="55" t="s">
        <v>133</v>
      </c>
      <c r="E3" s="55" t="s">
        <v>134</v>
      </c>
    </row>
    <row r="4">
      <c r="A4" s="57">
        <f>COUNTIFS(Historic!$H:$H,"XXXXXX")</f>
        <v>0</v>
      </c>
      <c r="B4" s="58"/>
      <c r="C4" s="59"/>
      <c r="D4" s="55" t="s">
        <v>135</v>
      </c>
      <c r="E4" s="55" t="s">
        <v>136</v>
      </c>
    </row>
    <row r="5">
      <c r="A5" s="57">
        <f>IF(AND(DateTime!$B$6&gt;=28,Allocation!$B$13&lt;&gt;Allocation!$B$14),Allocation!$B$13,0)</f>
        <v>0</v>
      </c>
      <c r="B5" s="58"/>
      <c r="C5" s="59"/>
      <c r="D5" s="55" t="s">
        <v>137</v>
      </c>
      <c r="E5" s="55" t="s">
        <v>138</v>
      </c>
    </row>
  </sheetData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" width="13.0"/>
    <col customWidth="1" min="2" max="2" width="17.14"/>
  </cols>
  <sheetData>
    <row r="1">
      <c r="A1" s="60" t="s">
        <v>146</v>
      </c>
      <c r="B1" s="61">
        <f>NOW()</f>
        <v>43643.89005</v>
      </c>
    </row>
    <row r="2">
      <c r="A2" s="60" t="s">
        <v>0</v>
      </c>
      <c r="B2" s="62">
        <f>DATEVALUE($B$1)</f>
        <v>43643</v>
      </c>
    </row>
    <row r="3">
      <c r="A3" s="60" t="s">
        <v>147</v>
      </c>
      <c r="B3" s="63">
        <f>TIMEVALUE($B$1)</f>
        <v>0.8900578704</v>
      </c>
    </row>
    <row r="4">
      <c r="A4" s="60" t="s">
        <v>148</v>
      </c>
      <c r="B4">
        <f>YEAR($B$1)</f>
        <v>2019</v>
      </c>
    </row>
    <row r="5">
      <c r="A5" s="60" t="s">
        <v>155</v>
      </c>
      <c r="B5">
        <f>MONTH($B$1)</f>
        <v>6</v>
      </c>
    </row>
    <row r="6">
      <c r="A6" s="60" t="s">
        <v>156</v>
      </c>
      <c r="B6">
        <f>DAY($B$1)</f>
        <v>27</v>
      </c>
    </row>
    <row r="7">
      <c r="A7" s="60" t="s">
        <v>157</v>
      </c>
      <c r="B7">
        <f>WEEKDAY($B$1,2)</f>
        <v>4</v>
      </c>
    </row>
    <row r="8">
      <c r="A8" s="64" t="s">
        <v>158</v>
      </c>
      <c r="B8" s="65">
        <v>1.0</v>
      </c>
    </row>
    <row r="9">
      <c r="A9" s="60" t="s">
        <v>159</v>
      </c>
      <c r="B9" s="55">
        <v>5.0</v>
      </c>
    </row>
    <row r="10">
      <c r="A10" s="60" t="s">
        <v>160</v>
      </c>
      <c r="B10" s="66">
        <f>TIME(9,0,0)</f>
        <v>0.375</v>
      </c>
    </row>
    <row r="11">
      <c r="A11" s="60" t="s">
        <v>161</v>
      </c>
      <c r="B11" s="66">
        <f>TIME(17,35,0)</f>
        <v>0.7326388889</v>
      </c>
    </row>
    <row r="12">
      <c r="A12" s="60" t="s">
        <v>162</v>
      </c>
      <c r="B12" s="55" t="b">
        <f>AND($B$7&gt;=$B$8,$B$7&lt;=$B$9,$B$3&gt;$B$10,$B$3&lt;$B$11)</f>
        <v>0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outlinePr summaryBelow="0" summaryRight="0"/>
  </sheetPr>
  <sheetViews>
    <sheetView workbookViewId="0"/>
  </sheetViews>
  <sheetFormatPr customHeight="1" defaultColWidth="14.43" defaultRowHeight="12.75"/>
  <cols>
    <col customWidth="1" min="1" max="1" width="38.14"/>
    <col customWidth="1" min="2" max="2" width="27.14"/>
  </cols>
  <sheetData>
    <row r="1" ht="14.25" customHeight="1">
      <c r="A1" s="67" t="s">
        <v>4</v>
      </c>
      <c r="B1" s="68">
        <f>B$36+B$28+B$18</f>
        <v>282796.3372</v>
      </c>
    </row>
    <row r="2" ht="14.25" customHeight="1">
      <c r="A2" s="69" t="s">
        <v>169</v>
      </c>
      <c r="B2" s="70">
        <f>$B$3/$B$7</f>
        <v>0.6536106672</v>
      </c>
    </row>
    <row r="3" ht="14.25" customHeight="1">
      <c r="A3" s="71" t="s">
        <v>170</v>
      </c>
      <c r="B3" s="72">
        <f>B$36-B$45</f>
        <v>67074.311</v>
      </c>
    </row>
    <row r="4" ht="14.25" customHeight="1">
      <c r="A4" s="71" t="s">
        <v>171</v>
      </c>
      <c r="B4" s="73">
        <f>B3/B$7/B$8</f>
        <v>0.07947113721</v>
      </c>
    </row>
    <row r="5" ht="14.25" customHeight="1">
      <c r="A5" s="71" t="s">
        <v>172</v>
      </c>
      <c r="B5" s="72">
        <f>SUMIF(Historic!D:D,"=DIVIDEND",Historic!G:G)</f>
        <v>23507.69</v>
      </c>
    </row>
    <row r="6" ht="14.25" customHeight="1">
      <c r="A6" s="71" t="s">
        <v>173</v>
      </c>
      <c r="B6" s="73">
        <f>B5/B$7/B$8</f>
        <v>0.02785243456</v>
      </c>
    </row>
    <row r="7" ht="14.25" customHeight="1">
      <c r="A7" s="71" t="s">
        <v>174</v>
      </c>
      <c r="B7" s="74">
        <f>AVERAGE(AllocationHistoric!B:B)</f>
        <v>102621.2</v>
      </c>
    </row>
    <row r="8" ht="14.25" hidden="1" customHeight="1">
      <c r="A8" s="71" t="s">
        <v>179</v>
      </c>
      <c r="B8" s="75">
        <f t="array" ref="B8">(DateTime!$B$2-INDEX(Historic!A:A, ROWS(Historic!A:A)))/365.25</f>
        <v>8.224503765</v>
      </c>
    </row>
    <row r="9" ht="14.25" customHeight="1">
      <c r="A9" s="71" t="s">
        <v>179</v>
      </c>
      <c r="B9" s="76" t="str">
        <f>ROUNDUP(B8*12) &amp; " months (" &amp; ROUNDUP(B8,1) &amp;  " years)"</f>
        <v>99 months (8.3 years)</v>
      </c>
    </row>
    <row r="10" ht="14.25" customHeight="1">
      <c r="A10" s="71" t="s">
        <v>182</v>
      </c>
      <c r="B10" s="77" t="str">
        <f>ROUNDUP(B1/-B14,0) &amp; " months (" &amp;ROUNDUP(B1/-B14/12,1) &amp;  " years)"</f>
        <v>672 months (56 years)</v>
      </c>
    </row>
    <row r="11" ht="14.25" customHeight="1">
      <c r="A11" s="71" t="s">
        <v>183</v>
      </c>
      <c r="B11" s="77" t="str">
        <f>ROUNDUP(B12/(B13+B14),0) &amp; " months (" &amp;ROUNDUP(B12/(B13+B14)/12,1) &amp;  " years)"</f>
        <v>58 months (4.8 years)</v>
      </c>
    </row>
    <row r="12" ht="14.25" customHeight="1">
      <c r="A12" s="71" t="s">
        <v>184</v>
      </c>
      <c r="B12" s="72">
        <f>B$1+B$14*12/$B6</f>
        <v>101398.5607</v>
      </c>
    </row>
    <row r="13" ht="14.25" customHeight="1">
      <c r="A13" s="78" t="s">
        <v>185</v>
      </c>
      <c r="B13" s="79">
        <f>(B45+B28+B18)/(12*B8)</f>
        <v>2185.76537</v>
      </c>
    </row>
    <row r="14" ht="14.25" customHeight="1">
      <c r="A14" s="80" t="s">
        <v>16</v>
      </c>
      <c r="B14" s="81">
        <f>AVERAGE(Expenses!B:B)</f>
        <v>-421.0308081</v>
      </c>
    </row>
    <row r="15" ht="14.25" customHeight="1">
      <c r="A15" s="82" t="s">
        <v>191</v>
      </c>
      <c r="B15" s="83">
        <f>-B$14/B$13</f>
        <v>0.1926239723</v>
      </c>
    </row>
    <row r="16" ht="14.25" customHeight="1">
      <c r="A16" s="82" t="s">
        <v>14</v>
      </c>
      <c r="B16" s="84">
        <f t="array" ref="B16">INDEX(Expenses!B:B,2)</f>
        <v>-208.07</v>
      </c>
    </row>
    <row r="17" ht="14.25" customHeight="1">
      <c r="A17" s="82" t="s">
        <v>17</v>
      </c>
      <c r="B17" s="84">
        <f>B$22+B$14</f>
        <v>348.0957689</v>
      </c>
    </row>
    <row r="18" ht="14.25" customHeight="1">
      <c r="A18" s="82" t="s">
        <v>8</v>
      </c>
      <c r="B18" s="85">
        <f>SUM(BankAccount!B:B)</f>
        <v>50.37</v>
      </c>
    </row>
    <row r="19" ht="14.25" customHeight="1">
      <c r="A19" s="82" t="s">
        <v>192</v>
      </c>
      <c r="B19" s="86">
        <f>$B$21/$B$46*1000</f>
        <v>2.789865183</v>
      </c>
    </row>
    <row r="20" ht="14.25" customHeight="1">
      <c r="A20" s="82" t="s">
        <v>18</v>
      </c>
      <c r="B20" s="85">
        <f>SUM(Budget!B:B)</f>
        <v>-442.65</v>
      </c>
    </row>
    <row r="21" ht="14.25" customHeight="1">
      <c r="A21" s="82" t="s">
        <v>53</v>
      </c>
      <c r="B21" s="86">
        <f t="array" ref="B21">INDEX(Investment!$AT:$AT,ROWS(Investment!$AT:$AT))+$B$57</f>
        <v>627.3194042</v>
      </c>
    </row>
    <row r="22" ht="14.25" customHeight="1">
      <c r="A22" s="82" t="s">
        <v>198</v>
      </c>
      <c r="B22" s="86">
        <f t="array" ref="B22">INDEX(AllocationHistoric!M:M,2)</f>
        <v>769.1265769</v>
      </c>
    </row>
    <row r="23" ht="14.25" customHeight="1">
      <c r="A23" s="82" t="s">
        <v>32</v>
      </c>
      <c r="B23" s="85">
        <f>AVERAGE(AllocationHistoric!$N:$N)</f>
        <v>17.48014948</v>
      </c>
    </row>
    <row r="24" ht="14.25" customHeight="1">
      <c r="A24" s="82" t="s">
        <v>26</v>
      </c>
      <c r="B24" s="85">
        <f>AVERAGE(AllocationHistoric!$H:$H)</f>
        <v>6699.160909</v>
      </c>
    </row>
    <row r="25" ht="14.25" customHeight="1">
      <c r="A25" s="82" t="s">
        <v>199</v>
      </c>
      <c r="B25" s="87">
        <f t="array" ref="B25">INDEX(AllocationHistoric!$B:$B,2)+$B$24+SUMIFS(Historic!G:G,Historic!D:D,"APPROVISIONNEMENT",Historic!A:A,"&gt;"&amp;EOMONTH(DateTime!B2,-1))</f>
        <v>303362.2409</v>
      </c>
    </row>
    <row r="26" ht="14.25" customHeight="1">
      <c r="A26" s="82" t="s">
        <v>200</v>
      </c>
      <c r="B26" s="87">
        <f>$B$36-$B$25</f>
        <v>712.0700909</v>
      </c>
    </row>
    <row r="27" ht="14.25" customHeight="1">
      <c r="A27" s="88" t="s">
        <v>201</v>
      </c>
      <c r="B27" s="89">
        <f>$B$26/$B$24+1</f>
        <v>1.10629243</v>
      </c>
    </row>
    <row r="28" ht="14.25" customHeight="1">
      <c r="A28" s="90" t="s">
        <v>207</v>
      </c>
      <c r="B28" s="91">
        <f>SUM(B$29:B$31)</f>
        <v>-21328.34382</v>
      </c>
    </row>
    <row r="29" ht="14.25" customHeight="1">
      <c r="A29" s="90" t="s">
        <v>9</v>
      </c>
      <c r="B29" s="91">
        <f>SUMIF(Budget!J:J,"&gt;0")</f>
        <v>10900</v>
      </c>
    </row>
    <row r="30" ht="14.25" customHeight="1">
      <c r="A30" s="90" t="s">
        <v>10</v>
      </c>
      <c r="B30" s="91">
        <f>SUMIF(Budget!J:J,"&lt;0")</f>
        <v>-17592.08</v>
      </c>
    </row>
    <row r="31" ht="14.25" customHeight="1">
      <c r="A31" s="92" t="s">
        <v>11</v>
      </c>
      <c r="B31" s="93">
        <f>-SUM(Client!D:D)</f>
        <v>-14636.26382</v>
      </c>
    </row>
    <row r="32" ht="14.25" hidden="1" customHeight="1">
      <c r="A32" s="94" t="s">
        <v>208</v>
      </c>
      <c r="B32" s="95">
        <f t="array" ref="B32">(DateTime!$B$2-INDEX(Evolution!A:A, ROWS(Evolution!A:A)))/365.25</f>
        <v>3.668720055</v>
      </c>
    </row>
    <row r="33" ht="14.25" customHeight="1">
      <c r="A33" s="96" t="s">
        <v>208</v>
      </c>
      <c r="B33" s="97" t="str">
        <f>ROUNDUP(B32*12) &amp; " months (" &amp; ROUNDUP(B32,1) &amp;  " years)"</f>
        <v>45 months (3.7 years)</v>
      </c>
    </row>
    <row r="34" ht="14.25" customHeight="1">
      <c r="A34" s="98" t="s">
        <v>34</v>
      </c>
      <c r="B34" s="99">
        <f t="array" ref="B34">INDEX(Investment!O:O,ROWS(Investment!O:O))+INDEX(Investment!AN:AN,ROWS(Investment!AN:AN))</f>
        <v>723733.701</v>
      </c>
    </row>
    <row r="35" ht="14.25" customHeight="1">
      <c r="A35" s="98" t="s">
        <v>35</v>
      </c>
      <c r="B35" s="99">
        <f>SUM(Historic!G:G)</f>
        <v>-419659.39</v>
      </c>
    </row>
    <row r="36" ht="14.25" customHeight="1">
      <c r="A36" s="98" t="s">
        <v>36</v>
      </c>
      <c r="B36" s="99">
        <f>B34+B35</f>
        <v>304074.311</v>
      </c>
    </row>
    <row r="37" ht="14.25" customHeight="1">
      <c r="A37" s="98" t="s">
        <v>37</v>
      </c>
      <c r="B37" s="99">
        <f>$B$36+$B43-SUMIFS(Historic!G:G,Historic!A:A,"&gt;" &amp; DATE(2017,4,20),Historic!B:B,"")</f>
        <v>79217.781</v>
      </c>
    </row>
    <row r="38" ht="14.25" customHeight="1">
      <c r="A38" s="98" t="s">
        <v>38</v>
      </c>
      <c r="B38" s="100">
        <f>B37/B$7/B$32</f>
        <v>0.2104122452</v>
      </c>
    </row>
    <row r="39" ht="14.25" customHeight="1">
      <c r="A39" s="98" t="s">
        <v>213</v>
      </c>
      <c r="B39" s="99">
        <f>B37-B41-B43</f>
        <v>66952.361</v>
      </c>
    </row>
    <row r="40" ht="14.25" customHeight="1">
      <c r="A40" s="98" t="s">
        <v>216</v>
      </c>
      <c r="B40" s="100">
        <f>B39/B$7/B$32</f>
        <v>0.1778337694</v>
      </c>
    </row>
    <row r="41" ht="14.25" customHeight="1">
      <c r="A41" s="98" t="s">
        <v>217</v>
      </c>
      <c r="B41" s="99">
        <f>SUMIFS(Historic!G:G,Historic!D:D,"=DIVIDEND",Historic!B:B,"&lt;&gt;",Historic!H:H,"&lt;&gt;XXXXXX")</f>
        <v>20105.6</v>
      </c>
    </row>
    <row r="42" ht="14.25" customHeight="1">
      <c r="A42" s="101" t="s">
        <v>218</v>
      </c>
      <c r="B42" s="100">
        <f>B41/B$7/B$32</f>
        <v>0.05340296564</v>
      </c>
    </row>
    <row r="43" ht="14.25" customHeight="1">
      <c r="A43" s="101" t="s">
        <v>219</v>
      </c>
      <c r="B43" s="99">
        <f t="array" ref="B43">INDEX(Investment!AF:AF,ROWS(Investment!AF:AF))</f>
        <v>-7840.18</v>
      </c>
    </row>
    <row r="44" ht="14.25" customHeight="1">
      <c r="A44" s="101" t="s">
        <v>220</v>
      </c>
      <c r="B44" s="100">
        <f>B43/B$7/B$32</f>
        <v>-0.02082448985</v>
      </c>
    </row>
    <row r="45" ht="14.25" customHeight="1">
      <c r="A45" s="102" t="s">
        <v>23</v>
      </c>
      <c r="B45" s="103">
        <f>SUMIF(Historic!D:D,"=APPROVISIONNEMENT",Historic!G:G)</f>
        <v>237000</v>
      </c>
    </row>
    <row r="46" ht="14.25" customHeight="1">
      <c r="A46" s="104" t="s">
        <v>25</v>
      </c>
      <c r="B46" s="105">
        <f>B36-B37</f>
        <v>224856.53</v>
      </c>
    </row>
    <row r="47" ht="14.25" customHeight="1">
      <c r="A47" s="104" t="s">
        <v>24</v>
      </c>
      <c r="B47" s="105">
        <f>B46-B45</f>
        <v>-12143.47</v>
      </c>
    </row>
    <row r="48" ht="14.25" customHeight="1">
      <c r="A48" s="104" t="s">
        <v>42</v>
      </c>
      <c r="B48" s="105">
        <f>Allocation!B12</f>
        <v>510000</v>
      </c>
    </row>
    <row r="49" ht="14.25" customHeight="1">
      <c r="A49" s="104" t="s">
        <v>47</v>
      </c>
      <c r="B49" s="106">
        <f>B48/B36</f>
        <v>1.677221592</v>
      </c>
    </row>
    <row r="50" ht="14.25" customHeight="1">
      <c r="A50" s="104" t="s">
        <v>44</v>
      </c>
      <c r="B50" s="105">
        <f>Allocation!B11</f>
        <v>86954.2007</v>
      </c>
    </row>
    <row r="51" ht="14.25" customHeight="1">
      <c r="A51" s="104" t="s">
        <v>46</v>
      </c>
      <c r="B51" s="105">
        <f>IF(Allocation!B14,Allocation!B14,Allocation!B13)</f>
        <v>420000</v>
      </c>
    </row>
    <row r="52" ht="14.25" customHeight="1">
      <c r="A52" s="107" t="s">
        <v>226</v>
      </c>
      <c r="B52" s="108">
        <f>B38-B40</f>
        <v>0.03257847579</v>
      </c>
    </row>
    <row r="53" ht="14.25" customHeight="1">
      <c r="A53" s="109" t="s">
        <v>227</v>
      </c>
      <c r="B53" s="110">
        <f>(SUMIFS(Historic!G:G,Historic!D:D,"=DIVIDEND",Historic!B:B,"&lt;&gt;",Historic!A:A,"&gt;=" &amp; DATE(DateTime!$B$4-1,DateTime!$B$5+1,1))+SUMIFS(Historic!G:G,Historic!D:D,"=COST",Historic!B:B,"",Historic!A:A,"&gt;=" &amp; DATE(DateTime!$B$4-1,DateTime!$B$5+1,1)))/AVERAGE(OFFSET(AllocationHistoric!B$1,1,0,12,1))</f>
        <v>0.03209939325</v>
      </c>
    </row>
    <row r="54" ht="14.25" customHeight="1">
      <c r="A54" s="109" t="s">
        <v>230</v>
      </c>
      <c r="B54" s="110">
        <v>0.0075</v>
      </c>
    </row>
    <row r="55" ht="14.25" customHeight="1">
      <c r="A55" s="109" t="s">
        <v>231</v>
      </c>
      <c r="B55" s="110">
        <v>-0.00359</v>
      </c>
    </row>
    <row r="56" ht="14.25" customHeight="1">
      <c r="A56" s="109" t="s">
        <v>48</v>
      </c>
      <c r="B56" s="110">
        <f>IFERROR(__xludf.DUMMYFUNCTION("TO_PERCENT(MAX(IFERROR($B$55,0),0)+1.25/100)"),0.0125)</f>
        <v>0.0125</v>
      </c>
    </row>
    <row r="57" ht="14.25" customHeight="1">
      <c r="A57" s="109" t="s">
        <v>19</v>
      </c>
      <c r="B57" s="111">
        <f>ROUNDUP(MIN(Interest!J:J),2)</f>
        <v>-495.84</v>
      </c>
    </row>
    <row r="58" ht="14.25" customHeight="1">
      <c r="A58" s="112" t="s">
        <v>232</v>
      </c>
      <c r="B58" s="113">
        <f t="array" ref="B58">INDEX(Investment!$P:$P,ROWS(Investment!$P:$P))-INDEX(Investment!$O:$O,ROWS(Investment!$O:$O))</f>
        <v>330063.6745</v>
      </c>
    </row>
    <row r="59" ht="14.25" customHeight="1">
      <c r="A59" s="114" t="s">
        <v>58</v>
      </c>
      <c r="B59" s="115">
        <f t="array" ref="B59">INDEX(Investment!X:X,ROWS(Investment!X:X))</f>
        <v>201.881</v>
      </c>
    </row>
    <row r="60" ht="14.25" customHeight="1">
      <c r="A60" s="114" t="s">
        <v>51</v>
      </c>
      <c r="B60" s="116">
        <f>(COUNTIFS(Historic!$J:$J,"&lt;&gt;",Historic!$D:$D,"&lt;&gt;COST")-1)/(DateTime!$B$2-MINIFS(Historic!$A:$A,Historic!$J:$J,"&lt;&gt;'"))*365.25/12</f>
        <v>12.61222376</v>
      </c>
    </row>
    <row r="61" ht="14.25" customHeight="1">
      <c r="A61" s="114" t="s">
        <v>50</v>
      </c>
      <c r="B61" s="117">
        <f>AVERAGE(Historic!$J:$J)</f>
        <v>110.2123151</v>
      </c>
    </row>
    <row r="62" ht="14.25" customHeight="1">
      <c r="A62" s="114" t="s">
        <v>52</v>
      </c>
      <c r="B62" s="117">
        <f>B60*B61</f>
        <v>1390.022378</v>
      </c>
    </row>
    <row r="63" ht="14.25" customHeight="1">
      <c r="A63" s="114" t="s">
        <v>54</v>
      </c>
      <c r="B63" s="117">
        <f>B62+B21</f>
        <v>2017.341783</v>
      </c>
    </row>
    <row r="64" ht="14.25" customHeight="1">
      <c r="A64" s="114" t="s">
        <v>236</v>
      </c>
      <c r="B64" s="117">
        <f>SUM(Historic!$I:$I)/(COUNT(Evolution!A:A)-1)</f>
        <v>83.92013966</v>
      </c>
    </row>
    <row r="65" ht="14.25" customHeight="1">
      <c r="A65" s="114" t="s">
        <v>237</v>
      </c>
      <c r="B65" s="117">
        <f>AVERAGE(Historic!$I:$I)</f>
        <v>240.7250489</v>
      </c>
    </row>
    <row r="66" ht="14.25" customHeight="1">
      <c r="A66" s="114" t="s">
        <v>238</v>
      </c>
      <c r="B66" s="117">
        <f>B65*B60</f>
        <v>3036.078181</v>
      </c>
    </row>
    <row r="67" ht="14.25" customHeight="1">
      <c r="A67" s="114" t="s">
        <v>239</v>
      </c>
      <c r="B67" s="118">
        <f t="array" ref="B67">INDEX(Investment!AO:AO,ROWS(Investment!AO:AO))</f>
        <v>0.1402622917</v>
      </c>
    </row>
    <row r="68" ht="14.25" customHeight="1">
      <c r="A68" s="114" t="s">
        <v>247</v>
      </c>
      <c r="B68" s="119" t="s">
        <v>248</v>
      </c>
    </row>
  </sheetData>
  <conditionalFormatting sqref="A1:B68">
    <cfRule type="expression" dxfId="0" priority="1">
      <formula>IFERROR(MATCH($A1,SPLIT(TEXTJOIN(";",TRUE,INDIRECT("Settings!$B$1:$F$6")),";"),0),-1)&gt;0</formula>
    </cfRule>
  </conditionalFormatting>
  <conditionalFormatting sqref="B54:B55">
    <cfRule type="expression" dxfId="1" priority="2">
      <formula>ISFORMULA($B54)</formula>
    </cfRule>
  </conditionalFormatting>
  <hyperlinks>
    <hyperlink r:id="rId2" ref="B68"/>
  </hyperlinks>
  <drawing r:id="rId3"/>
  <legacyDrawing r:id="rId4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outlinePr summaryBelow="0" summaryRight="0"/>
  </sheetPr>
  <sheetViews>
    <sheetView workbookViewId="0">
      <pane xSplit="13.0" topLeftCell="N1" activePane="topRight" state="frozen"/>
      <selection activeCell="O2" sqref="O2" pane="topRight"/>
    </sheetView>
  </sheetViews>
  <sheetFormatPr customHeight="1" defaultColWidth="14.43" defaultRowHeight="12.75"/>
  <cols>
    <col customWidth="1" min="1" max="1" width="31.14"/>
    <col customWidth="1" hidden="1" min="2" max="2" width="10.71"/>
    <col customWidth="1" hidden="1" min="3" max="3" width="5.0"/>
    <col customWidth="1" hidden="1" min="4" max="4" width="43.0"/>
    <col customWidth="1" hidden="1" min="5" max="5" width="64.14"/>
    <col customWidth="1" hidden="1" min="6" max="6" width="14.71"/>
    <col customWidth="1" hidden="1" min="7" max="7" width="9.71"/>
    <col customWidth="1" hidden="1" min="8" max="8" width="30.43"/>
    <col customWidth="1" hidden="1" min="9" max="9" width="10.57"/>
    <col customWidth="1" hidden="1" min="10" max="10" width="7.86"/>
    <col customWidth="1" min="11" max="11" width="10.14"/>
    <col customWidth="1" hidden="1" min="12" max="12" width="9.43"/>
    <col customWidth="1" min="13" max="13" width="9.43"/>
    <col customWidth="1" min="14" max="16" width="12.0"/>
    <col customWidth="1" min="17" max="17" width="13.29"/>
    <col customWidth="1" min="18" max="18" width="5.43"/>
    <col customWidth="1" min="19" max="19" width="12.0"/>
    <col customWidth="1" min="20" max="20" width="12.57"/>
    <col customWidth="1" hidden="1" min="21" max="21" width="10.57"/>
    <col customWidth="1" hidden="1" min="22" max="22" width="9.71"/>
    <col customWidth="1" min="23" max="23" width="14.0"/>
    <col customWidth="1" min="24" max="24" width="11.14"/>
    <col customWidth="1" min="25" max="25" width="7.0"/>
    <col customWidth="1" min="26" max="26" width="11.0"/>
    <col customWidth="1" min="27" max="27" width="6.43"/>
    <col customWidth="1" min="28" max="28" width="11.57"/>
    <col customWidth="1" min="29" max="29" width="7.0"/>
    <col customWidth="1" min="30" max="30" width="11.0"/>
    <col customWidth="1" min="31" max="31" width="9.14"/>
    <col customWidth="1" min="32" max="32" width="10.57"/>
    <col customWidth="1" min="33" max="33" width="10.86"/>
    <col customWidth="1" min="34" max="34" width="9.57"/>
    <col customWidth="1" min="35" max="35" width="8.43"/>
    <col customWidth="1" min="36" max="36" width="12.14"/>
    <col customWidth="1" min="37" max="37" width="8.43"/>
    <col customWidth="1" min="38" max="38" width="9.29"/>
    <col customWidth="1" min="39" max="39" width="12.43"/>
    <col customWidth="1" hidden="1" min="40" max="40" width="9.86"/>
    <col customWidth="1" hidden="1" min="41" max="41" width="17.14"/>
    <col customWidth="1" min="42" max="43" width="10.43"/>
    <col customWidth="1" min="44" max="44" width="12.0"/>
    <col customWidth="1" min="45" max="45" width="9.86"/>
    <col customWidth="1" min="46" max="46" width="11.29"/>
    <col customWidth="1" min="47" max="47" width="13.29"/>
    <col customWidth="1" min="48" max="49" width="12.0"/>
    <col customWidth="1" min="50" max="50" width="11.0"/>
  </cols>
  <sheetData>
    <row r="1">
      <c r="A1" s="120" t="s">
        <v>60</v>
      </c>
      <c r="B1" s="121" t="s">
        <v>257</v>
      </c>
      <c r="C1" s="121" t="s">
        <v>260</v>
      </c>
      <c r="D1" s="121" t="s">
        <v>261</v>
      </c>
      <c r="E1" s="121" t="s">
        <v>262</v>
      </c>
      <c r="F1" s="121" t="s">
        <v>263</v>
      </c>
      <c r="G1" s="121" t="s">
        <v>264</v>
      </c>
      <c r="H1" s="121" t="s">
        <v>61</v>
      </c>
      <c r="I1" s="121" t="s">
        <v>265</v>
      </c>
      <c r="J1" s="121" t="s">
        <v>266</v>
      </c>
      <c r="K1" s="123" t="s">
        <v>267</v>
      </c>
      <c r="L1" s="127" t="str">
        <f>IFERROR(__xludf.DUMMYFUNCTION("SWITCH($J1,""Symbol"",,""FP"",IMPORTXML(""https://bloomberg.com/quote/""&amp;$G1&amp;"":""&amp;$J1,""//span[@class='priceText__1853e8a5']""),IMPORTXML(""https://www.investing.com/etfs/""&amp;$D1,""//span[@id='last_last']""))"),"")</f>
        <v/>
      </c>
      <c r="M1" s="127" t="s">
        <v>64</v>
      </c>
      <c r="N1" s="129" t="s">
        <v>273</v>
      </c>
      <c r="O1" s="129" t="s">
        <v>275</v>
      </c>
      <c r="P1" s="131" t="s">
        <v>276</v>
      </c>
      <c r="Q1" s="56" t="s">
        <v>277</v>
      </c>
      <c r="R1" s="56" t="s">
        <v>278</v>
      </c>
      <c r="S1" s="56" t="s">
        <v>279</v>
      </c>
      <c r="T1" s="56" t="s">
        <v>280</v>
      </c>
      <c r="U1" s="56" t="s">
        <v>281</v>
      </c>
      <c r="V1" s="132" t="s">
        <v>282</v>
      </c>
      <c r="W1" s="133" t="s">
        <v>282</v>
      </c>
      <c r="X1" s="134" t="s">
        <v>283</v>
      </c>
      <c r="Y1" s="135" t="s">
        <v>284</v>
      </c>
      <c r="Z1" s="136" t="s">
        <v>285</v>
      </c>
      <c r="AA1" s="136" t="s">
        <v>284</v>
      </c>
      <c r="AB1" s="136" t="s">
        <v>286</v>
      </c>
      <c r="AC1" s="135" t="s">
        <v>284</v>
      </c>
      <c r="AD1" s="137" t="s">
        <v>287</v>
      </c>
      <c r="AE1" s="139" t="s">
        <v>284</v>
      </c>
      <c r="AF1" s="140" t="s">
        <v>288</v>
      </c>
      <c r="AG1" s="121" t="s">
        <v>289</v>
      </c>
      <c r="AH1" s="121" t="s">
        <v>290</v>
      </c>
      <c r="AI1" s="121" t="s">
        <v>291</v>
      </c>
      <c r="AJ1" s="142" t="s">
        <v>292</v>
      </c>
      <c r="AK1" s="143" t="s">
        <v>293</v>
      </c>
      <c r="AL1" s="143" t="s">
        <v>294</v>
      </c>
      <c r="AM1" s="144" t="s">
        <v>297</v>
      </c>
      <c r="AN1" s="143" t="s">
        <v>299</v>
      </c>
      <c r="AO1" s="143" t="s">
        <v>300</v>
      </c>
      <c r="AP1" s="143" t="s">
        <v>301</v>
      </c>
      <c r="AQ1" s="143" t="s">
        <v>302</v>
      </c>
      <c r="AR1" s="146" t="s">
        <v>302</v>
      </c>
      <c r="AS1" s="127" t="s">
        <v>303</v>
      </c>
      <c r="AT1" s="147" t="s">
        <v>304</v>
      </c>
      <c r="AU1" s="143" t="s">
        <v>305</v>
      </c>
      <c r="AV1" s="149" t="s">
        <v>306</v>
      </c>
      <c r="AW1" s="150" t="s">
        <v>306</v>
      </c>
      <c r="AX1" s="150" t="s">
        <v>306</v>
      </c>
    </row>
    <row r="2">
      <c r="A2" s="151" t="s">
        <v>268</v>
      </c>
      <c r="B2" s="152">
        <v>0.4</v>
      </c>
      <c r="C2" s="153"/>
      <c r="D2" s="154" t="s">
        <v>307</v>
      </c>
      <c r="E2" s="156" t="s">
        <v>308</v>
      </c>
      <c r="F2" s="157" t="s">
        <v>84</v>
      </c>
      <c r="G2" s="156" t="str">
        <f t="shared" ref="G2:G6" si="2">IFERROR(__xludf.DUMMYFUNCTION("INDEX(SPLIT($E2,"" ""),1,1)"),"IS04")</f>
        <v>IS04</v>
      </c>
      <c r="H2" s="156" t="str">
        <f t="shared" ref="H2:H6" si="3">IFERROR(__xludf.DUMMYFUNCTION("TRIM(INDEX(SPLIT(SPLIT($E2,$I2,FALSE),"" | "",FALSE),1,2))"),"iShares Treasury Bond 20+ UCITS")</f>
        <v>iShares Treasury Bond 20+ UCITS</v>
      </c>
      <c r="I2" s="156" t="str">
        <f t="shared" ref="I2:I6" si="4">IFERROR(__xludf.DUMMYFUNCTION("INDEX(SPLIT(SPLIT($E2,""ETF "",FALSE),"" ""),1,COLUMNS(SPLIT(SPLIT($E2,""ETF "",FALSE),"" "")))"),"Xetra")</f>
        <v>Xetra</v>
      </c>
      <c r="J2" s="156" t="str">
        <f t="shared" ref="J2:J6" si="5">SWITCH($I2,"XETRA","GR","Amsterdam","NA","Paris","FP")</f>
        <v>GR</v>
      </c>
      <c r="K2" s="159">
        <f>SUMIFS(Historic!E:E,Historic!D:D,"&lt;&gt;DIVIDEND",Historic!C:C,"=" &amp; H2)</f>
        <v>62993</v>
      </c>
      <c r="L2" s="161"/>
      <c r="M2" s="161">
        <v>4.346</v>
      </c>
      <c r="N2" s="25">
        <f>IF($K2,-SUMIFS(Historic!G:G,Historic!D:D,"&lt;&gt;DIVIDEND",Historic!C:C,"=" &amp; H2)-$AN2,0)</f>
        <v>256379.19</v>
      </c>
      <c r="O2" s="164">
        <f t="shared" ref="O2:O6" si="6">M2*K2</f>
        <v>273767.578</v>
      </c>
      <c r="P2" s="166">
        <f t="shared" ref="P2:P6" si="7">$P$7*$B2*(1-$AI2)</f>
        <v>386252.8062</v>
      </c>
      <c r="Q2" s="32">
        <f>SUMIFS(Historic!G:G,Historic!C:C,"=" &amp; H2,Historic!E:E,"&lt;&gt;",Historic!A:A,"&gt;=" &amp; DATE(DateTime!$B$4,DateTime!$B$5,1),Historic!A:A,"&lt;=" &amp; DateTime!$B$2)+SUMIFS(Historic!G:G,Historic!C:C,"=" &amp; H2,Historic!E:E,"&lt;&gt;",Historic!H:H,"XXXXXX")</f>
        <v>6181.88</v>
      </c>
      <c r="R2" s="169">
        <f t="shared" ref="R2:R6" si="8">RANK(AK2,AK$2:AK$6,-1)-1</f>
        <v>0</v>
      </c>
      <c r="S2" s="170">
        <f t="shared" ref="S2:S6" si="9">ROUNDUP(-T2/$M2)</f>
        <v>0</v>
      </c>
      <c r="T2" s="171">
        <f t="shared" ref="T2:T6" si="10">IF(AND(($P$7-$O$7)*$AI2&lt;0,OR($V2*$AK2&gt;0,$V2*$AI2&lt;0,ABS($AI2)&gt;0.03)),IF(($P2-$O2)*$AI2&lt;0,-ROUNDDOWN(($P2-$O2+$U2)/$M2)*$M2,0),IF(((-$V2-$AK2*5)*$N2+$U2)*($AH2-$M2)&gt;0,-ROUNDDOWN(((-$V2-$AK2*5)*$N2+$U2)/$M2)*$M2,IF($N2=0,-$O$7/SUMIFS($B$2:$B$5,$K$2:$K$5,"&gt;0")*$B2,0)))</f>
        <v>0</v>
      </c>
      <c r="U2" s="172">
        <f t="shared" ref="U2:U6" si="11">ROUNDDOWN((INDEX($U:$U,ROWS($U:$U))-SUMIFS(U:U,R:R,"&lt;"&amp;R2))/$M2)*$M2</f>
        <v>66080.93</v>
      </c>
      <c r="V2" s="173">
        <f t="array" ref="V2">INDEX(Price!$G:$K,2,ROW()-1)</f>
        <v>0.0009872229894</v>
      </c>
      <c r="W2" s="173" t="str">
        <f t="array" ref="W2">IF(AND(ABS($T2)&gt;=1000,Dashboard!$B$48+Dashboard!$B$35&gt;-$T2,OR(AND($T2&lt;0,$M2&lt;$AH2),AND($T2&gt;0,$M2&gt;$AH2),$N2=0),OR($T2*$V2&gt;0,($P$7-$O$7)*$AI2&lt;0)),IF(OR(AND($T2&lt;0,N2&lt;&gt;0),$V2&lt;AVERAGEIFS(INDEX(Price!$G:$K,0,ROW()-1),INDEX(Price!$G:$K,0,ROW()-1),"&lt;0",INDEX(Price!$G:$K,0,ROW()-1),"&gt;-0.03")*2),"BUY",IF(OR(AND($T2&gt;0,N2&lt;&gt;0),$V2&gt;AVERAGEIFS(INDEX(Price!$G:$K,0,ROW()-1),INDEX(Price!$G:$K,0,ROW()-1),"&gt;0",INDEX(Price!$G:$K,0,ROW()-1),"&lt;0.03")*2),"SELL","HOLD")),"HOLD") &amp; " (" &amp; ROUND($V2*100,2) &amp; "%)"</f>
        <v>HOLD (0.1%)</v>
      </c>
      <c r="X2" s="166">
        <f t="array" ref="X2">($M2-INDEX(Price!$B:$F,MIN(3,COLUMNS(Price!$B:$F)),ROW()-1))*$K2</f>
        <v>944.895</v>
      </c>
      <c r="Y2" s="174">
        <f t="shared" ref="Y2:Y6" si="12">IF(OR(X2=0,$N2=0),0,X2/$N2)</f>
        <v>0.003685537036</v>
      </c>
      <c r="Z2" s="32">
        <f>SUMIFS(Historic!G:G,Historic!D:D,"=DIVIDEND",Historic!C:C,"=" &amp; H2,Historic!H:H,"&lt;&gt;XXXXXX")</f>
        <v>3525.59</v>
      </c>
      <c r="AA2" s="173">
        <f t="shared" ref="AA2:AA6" si="13">IF(OR(Z2=0,$N2=0),0,Z2/$N2)</f>
        <v>0.01375146711</v>
      </c>
      <c r="AB2" s="32">
        <f t="shared" ref="AB2:AB6" si="14">O2-N2</f>
        <v>17388.388</v>
      </c>
      <c r="AC2" s="174">
        <f t="shared" ref="AC2:AC6" si="15">IF(OR(AB2=0,$N2=0),0,AB2/$N2)</f>
        <v>0.06782293056</v>
      </c>
      <c r="AD2" s="175">
        <f t="shared" ref="AD2:AE2" si="1">Z2+AB2</f>
        <v>20913.978</v>
      </c>
      <c r="AE2" s="176">
        <f t="shared" si="1"/>
        <v>0.08157439767</v>
      </c>
      <c r="AF2" s="177">
        <f t="shared" ref="AF2:AF6" si="17">IF(OR($C2="",AND($Q2&lt;&gt;0,$T2&lt;&gt;0,OR(ABS($T2)&lt;=1000,SIGN($T2)&lt;&gt;SIGN($Q2)))),2+0.02/100*ABS($T2),0)</f>
        <v>2</v>
      </c>
      <c r="AG2" s="178">
        <f t="shared" ref="AG2:AG6" si="18">IF($K2&lt;&gt;0,$N2/$K2,)</f>
        <v>4.069963171</v>
      </c>
      <c r="AH2" s="178">
        <f t="array" ref="AH2">AVERAGEIFS(OFFSET(INDEX(Price!$B:$F,0,ROW()-1),0,0,ROWS(Price!$B:$F),1),Price!$A:$A,"&gt;=" &amp; DATE(DateTime!$B$4-1,DateTime!$B$5,DateTime!$B$6))</f>
        <v>3.982394336</v>
      </c>
      <c r="AI2" s="173">
        <f t="shared" ref="AI2:AI6" si="19">1-$AH2/$M2</f>
        <v>0.0836644418</v>
      </c>
      <c r="AJ2" s="179">
        <f t="shared" ref="AJ2:AJ6" si="20">$S2*$AH2+$T2</f>
        <v>0</v>
      </c>
      <c r="AK2" s="180">
        <f t="shared" ref="AK2:AK6" si="21">IF($P$7,$O2/$O$7/SUMIFS($B$2:$B$6,$K$2:$K$6,"&gt;0")-$B2*$P2/($O2+$P2)*($O$7+$P$7)/$P$7,0)</f>
        <v>-0.01658089225</v>
      </c>
      <c r="AL2" s="173">
        <f t="array" ref="AL2">($AH2-AVERAGEIFS(OFFSET(INDEX(Price!$B:$F,0,ROW()-1),0,0,ROWS(Price!$B:$F),1),Price!$A:$A,"&gt;=" &amp; DATE(DateTime!$B$4-1,DateTime!$B$5-1,DateTime!$B$6),Price!$A:$A,"&lt;=" &amp; DATE(DateTime!$B$4,DateTime!$B$5-1,DateTime!$B$6)+1))/$AH2</f>
        <v>0.009692747946</v>
      </c>
      <c r="AM2" s="181">
        <f t="shared" ref="AM2:AM6" si="22">(M2-AH2)/(AH2*AL2)</f>
        <v>9.419751781</v>
      </c>
      <c r="AN2" s="182">
        <v>-0.01</v>
      </c>
      <c r="AO2" s="183">
        <v>43643.74979052083</v>
      </c>
      <c r="AP2" s="122">
        <f>IF(MAXIFS(Historic!$A:$A,Historic!$C:$C,LEFT($H2,40)&amp;"*",Historic!$D:$D,"DIVIDEND",Historic!$G:$G,"&gt;0")&lt;&gt;0,MAXIFS(Historic!$A:$A,Historic!$C:$C,LEFT($H2,40)&amp;"*",Historic!$D:$D,"DIVIDEND",Historic!$G:$G,"&gt;0"),)</f>
        <v>43642</v>
      </c>
      <c r="AQ2" s="122">
        <f>IF(MAXIFS(Historic!$A:$A,Historic!$C:$C,LEFT($H2,40)&amp;"*",Historic!$D:$D,"DIVIDEND",Historic!$A:$A,"&lt;"&amp;AP2)&lt;&gt;0,EDATE(AP2,ROUND((AP2-MAXIFS(Historic!$A:$A,Historic!$C:$C,LEFT($H2,40)&amp;"*",Historic!$D:$D,"DIVIDEND",Historic!$A:$A,"&lt;"&amp;AP2))/365.25*12)),)</f>
        <v>43825</v>
      </c>
      <c r="AR2" s="184" t="str">
        <f>IF($AQ2,$AQ2-DateTime!$B$2&amp;"d ("&amp;ROUND(($AQ2-DateTime!$B$2)/30,1) &amp; "m)",)</f>
        <v>182d (6.1m)</v>
      </c>
      <c r="AS2" s="171">
        <f>IF($AP2,SUMIFS(Historic!$G:$G,Historic!$C:$C,LEFT($H2,40)&amp;"*",Historic!$D:$D,"DIVIDEND",Historic!$A:$A,"&gt;="&amp;$AP2)/SUMIFS(Historic!$E:$E,Historic!$C:$C,LEFT($H2,40)&amp;"*",Historic!$A:$A,"&lt;="&amp;$AP2)*$K2,)</f>
        <v>3525.59</v>
      </c>
      <c r="AT2" s="164">
        <f t="shared" ref="AT2:AT6" si="23">ROUND(IF($AQ2,12/DATEDIF($AP2,$AQ2,"M"),1))*$AS2/12</f>
        <v>587.5983333</v>
      </c>
      <c r="AU2" s="164">
        <f t="shared" ref="AU2:AU6" si="24">$AH2*$K2</f>
        <v>250862.9664</v>
      </c>
      <c r="AV2" s="186">
        <f t="shared" ref="AV2:AV6" si="25">$P2/($O2+$P2)*($O$7+$P$7)/$P$7</f>
        <v>0.9871300878</v>
      </c>
      <c r="AW2" s="189">
        <f t="shared" ref="AW2:AW6" si="26">ROUNDDOWN(($P2-$O2+$U2)/$M2)*$M2</f>
        <v>178564.102</v>
      </c>
      <c r="AX2" s="191">
        <f t="shared" ref="AX2:AX6" si="27">IF(ABS((-$V2-$AK2*5)*$N2)&gt;=1,(-$V2-$AK2*5)*$N2,0)</f>
        <v>21001.87519</v>
      </c>
    </row>
    <row r="3">
      <c r="A3" s="151" t="s">
        <v>343</v>
      </c>
      <c r="B3" s="152">
        <v>0.3</v>
      </c>
      <c r="C3" s="192" t="s">
        <v>356</v>
      </c>
      <c r="D3" s="154" t="s">
        <v>357</v>
      </c>
      <c r="E3" s="156" t="s">
        <v>358</v>
      </c>
      <c r="F3" s="157" t="s">
        <v>141</v>
      </c>
      <c r="G3" s="156" t="str">
        <f t="shared" si="2"/>
        <v>VUSA</v>
      </c>
      <c r="H3" s="156" t="str">
        <f t="shared" si="3"/>
        <v>Vanguard S&amp;P 500 UCITS</v>
      </c>
      <c r="I3" s="156" t="str">
        <f t="shared" si="4"/>
        <v>Amsterdam</v>
      </c>
      <c r="J3" s="156" t="str">
        <f t="shared" si="5"/>
        <v>NA</v>
      </c>
      <c r="K3" s="159">
        <f>SUMIFS(Historic!E:E,Historic!D:D,"&lt;&gt;DIVIDEND",Historic!C:C,"=" &amp; H3)</f>
        <v>4293</v>
      </c>
      <c r="L3" s="161"/>
      <c r="M3" s="161">
        <v>48.701</v>
      </c>
      <c r="N3" s="25">
        <f>IF($K3,-SUMIFS(Historic!G:G,Historic!D:D,"&lt;&gt;DIVIDEND",Historic!C:C,"=" &amp; H3)-$AN3,0)</f>
        <v>187275.53</v>
      </c>
      <c r="O3" s="164">
        <f t="shared" si="6"/>
        <v>209073.393</v>
      </c>
      <c r="P3" s="166">
        <f t="shared" si="7"/>
        <v>301262.2742</v>
      </c>
      <c r="Q3" s="32">
        <f>SUMIFS(Historic!G:G,Historic!C:C,"=" &amp; H3,Historic!E:E,"&lt;&gt;",Historic!A:A,"&gt;=" &amp; DATE(DateTime!$B$4,DateTime!$B$5,1),Historic!A:A,"&lt;=" &amp; DateTime!$B$2)+SUMIFS(Historic!G:G,Historic!C:C,"=" &amp; H3,Historic!E:E,"&lt;&gt;",Historic!H:H,"XXXXXX")</f>
        <v>6570.72</v>
      </c>
      <c r="R3" s="169">
        <f t="shared" si="8"/>
        <v>1</v>
      </c>
      <c r="S3" s="170">
        <f t="shared" si="9"/>
        <v>0</v>
      </c>
      <c r="T3" s="171">
        <f t="shared" si="10"/>
        <v>0</v>
      </c>
      <c r="U3" s="172">
        <f t="shared" si="11"/>
        <v>0</v>
      </c>
      <c r="V3" s="173">
        <f t="array" ref="V3">INDEX(Price!$G:$K,2,ROW()-1)</f>
        <v>-0.004361730664</v>
      </c>
      <c r="W3" s="173" t="str">
        <f t="array" ref="W3">IF(AND(ABS($T3)&gt;=1000,Dashboard!$B$48+Dashboard!$B$35&gt;-$T3,OR(AND($T3&lt;0,$M3&lt;$AH3),AND($T3&gt;0,$M3&gt;$AH3),$N3=0),OR($T3*$V3&gt;0,($P$7-$O$7)*$AI3&lt;0)),IF(OR(AND($T3&lt;0,N3&lt;&gt;0),$V3&lt;AVERAGEIFS(INDEX(Price!$G:$K,0,ROW()-1),INDEX(Price!$G:$K,0,ROW()-1),"&lt;0",INDEX(Price!$G:$K,0,ROW()-1),"&gt;-0.03")*2),"BUY",IF(OR(AND($T3&gt;0,N3&lt;&gt;0),$V3&gt;AVERAGEIFS(INDEX(Price!$G:$K,0,ROW()-1),INDEX(Price!$G:$K,0,ROW()-1),"&gt;0",INDEX(Price!$G:$K,0,ROW()-1),"&lt;0.03")*2),"SELL","HOLD")),"HOLD") &amp; " (" &amp; ROUND($V3*100,2) &amp; "%)"</f>
        <v>HOLD (-0.44%)</v>
      </c>
      <c r="X3" s="166">
        <f t="array" ref="X3">($M3-INDEX(Price!$B:$F,MIN(3,COLUMNS(Price!$B:$F)),ROW()-1))*$K3</f>
        <v>-764.154</v>
      </c>
      <c r="Y3" s="174">
        <f t="shared" si="12"/>
        <v>-0.004080372914</v>
      </c>
      <c r="Z3" s="32">
        <f>SUMIFS(Historic!G:G,Historic!D:D,"=DIVIDEND",Historic!C:C,"=" &amp; H3,Historic!H:H,"&lt;&gt;XXXXXX")</f>
        <v>4014.59</v>
      </c>
      <c r="AA3" s="173">
        <f t="shared" si="13"/>
        <v>0.02143681024</v>
      </c>
      <c r="AB3" s="32">
        <f t="shared" si="14"/>
        <v>21797.863</v>
      </c>
      <c r="AC3" s="174">
        <f t="shared" si="15"/>
        <v>0.1163946139</v>
      </c>
      <c r="AD3" s="175">
        <f t="shared" ref="AD3:AE3" si="16">Z3+AB3</f>
        <v>25812.453</v>
      </c>
      <c r="AE3" s="176">
        <f t="shared" si="16"/>
        <v>0.1378314241</v>
      </c>
      <c r="AF3" s="177">
        <f t="shared" si="17"/>
        <v>0</v>
      </c>
      <c r="AG3" s="178">
        <f t="shared" si="18"/>
        <v>43.62346378</v>
      </c>
      <c r="AH3" s="178">
        <f t="array" ref="AH3">AVERAGEIFS(OFFSET(INDEX(Price!$B:$F,0,ROW()-1),0,0,ROWS(Price!$B:$F),1),Price!$A:$A,"&gt;=" &amp; DATE(DateTime!$B$4-1,DateTime!$B$5,DateTime!$B$6))</f>
        <v>46.40921875</v>
      </c>
      <c r="AI3" s="173">
        <f t="shared" si="19"/>
        <v>0.04705819696</v>
      </c>
      <c r="AJ3" s="179">
        <f t="shared" si="20"/>
        <v>0</v>
      </c>
      <c r="AK3" s="180">
        <f t="shared" si="21"/>
        <v>-0.009842383269</v>
      </c>
      <c r="AL3" s="173">
        <f t="array" ref="AL3">($AH3-AVERAGEIFS(OFFSET(INDEX(Price!$B:$F,0,ROW()-1),0,0,ROWS(Price!$B:$F),1),Price!$A:$A,"&gt;=" &amp; DATE(DateTime!$B$4-1,DateTime!$B$5-1,DateTime!$B$6),Price!$A:$A,"&lt;=" &amp; DATE(DateTime!$B$4,DateTime!$B$5-1,DateTime!$B$6)+1))/$AH3</f>
        <v>0.004408622463</v>
      </c>
      <c r="AM3" s="181">
        <f t="shared" si="22"/>
        <v>11.20123723</v>
      </c>
      <c r="AN3" s="182">
        <v>-0.01</v>
      </c>
      <c r="AO3" s="183">
        <v>43643.74979052083</v>
      </c>
      <c r="AP3" s="122">
        <f>IF(MAXIFS(Historic!$A:$A,Historic!$C:$C,LEFT($H3,40)&amp;"*",Historic!$D:$D,"DIVIDEND",Historic!$G:$G,"&gt;0")&lt;&gt;0,MAXIFS(Historic!$A:$A,Historic!$C:$C,LEFT($H3,40)&amp;"*",Historic!$D:$D,"DIVIDEND",Historic!$G:$G,"&gt;0"),)</f>
        <v>43565</v>
      </c>
      <c r="AQ3" s="122">
        <f>IF(MAXIFS(Historic!$A:$A,Historic!$C:$C,LEFT($H3,40)&amp;"*",Historic!$D:$D,"DIVIDEND",Historic!$A:$A,"&lt;"&amp;AP3)&lt;&gt;0,EDATE(AP3,ROUND((AP3-MAXIFS(Historic!$A:$A,Historic!$C:$C,LEFT($H3,40)&amp;"*",Historic!$D:$D,"DIVIDEND",Historic!$A:$A,"&lt;"&amp;AP3))/365.25*12)),)</f>
        <v>43656</v>
      </c>
      <c r="AR3" s="184" t="str">
        <f>IF($AQ3,$AQ3-DateTime!$B$2&amp;"d ("&amp;ROUND(($AQ3-DateTime!$B$2)/30,1) &amp; "m)",)</f>
        <v>13d (0.4m)</v>
      </c>
      <c r="AS3" s="171">
        <f>IF($AP3,SUMIFS(Historic!$G:$G,Historic!$C:$C,LEFT($H3,40)&amp;"*",Historic!$D:$D,"DIVIDEND",Historic!$A:$A,"&gt;="&amp;$AP3)/SUMIFS(Historic!$E:$E,Historic!$C:$C,LEFT($H3,40)&amp;"*",Historic!$A:$A,"&lt;="&amp;$AP3)*$K3,)</f>
        <v>915.1782125</v>
      </c>
      <c r="AT3" s="164">
        <f t="shared" si="23"/>
        <v>305.0594042</v>
      </c>
      <c r="AU3" s="164">
        <f t="shared" si="24"/>
        <v>199234.7761</v>
      </c>
      <c r="AV3" s="186">
        <f t="shared" si="25"/>
        <v>0.9957467979</v>
      </c>
      <c r="AW3" s="189">
        <f t="shared" si="26"/>
        <v>92142.292</v>
      </c>
      <c r="AX3" s="191">
        <f t="shared" si="27"/>
        <v>10033.03314</v>
      </c>
    </row>
    <row r="4">
      <c r="A4" s="151" t="s">
        <v>364</v>
      </c>
      <c r="B4" s="152">
        <v>0.15</v>
      </c>
      <c r="C4" s="192" t="s">
        <v>356</v>
      </c>
      <c r="D4" s="154" t="s">
        <v>380</v>
      </c>
      <c r="E4" s="156" t="s">
        <v>381</v>
      </c>
      <c r="F4" s="157" t="s">
        <v>242</v>
      </c>
      <c r="G4" s="156" t="str">
        <f t="shared" si="2"/>
        <v>BTMA</v>
      </c>
      <c r="H4" s="156" t="str">
        <f t="shared" si="3"/>
        <v>iShares Treasury Bond 7-10 UCITS</v>
      </c>
      <c r="I4" s="156" t="str">
        <f t="shared" si="4"/>
        <v>Amsterdam</v>
      </c>
      <c r="J4" s="156" t="str">
        <f t="shared" si="5"/>
        <v>NA</v>
      </c>
      <c r="K4" s="159">
        <f>SUMIFS(Historic!E:E,Historic!D:D,"&lt;&gt;DIVIDEND",Historic!C:C,"=" &amp; H4)</f>
        <v>597</v>
      </c>
      <c r="L4" s="161"/>
      <c r="M4" s="161">
        <v>177.5</v>
      </c>
      <c r="N4" s="25">
        <f>IF($K4,-SUMIFS(Historic!G:G,Historic!D:D,"&lt;&gt;DIVIDEND",Historic!C:C,"=" &amp; H4)-$AN4,0)</f>
        <v>94355.56</v>
      </c>
      <c r="O4" s="164">
        <f t="shared" si="6"/>
        <v>105967.5</v>
      </c>
      <c r="P4" s="166">
        <f t="shared" si="7"/>
        <v>149400.3038</v>
      </c>
      <c r="Q4" s="32">
        <f>SUMIFS(Historic!G:G,Historic!C:C,"=" &amp; H4,Historic!E:E,"&lt;&gt;",Historic!A:A,"&gt;=" &amp; DATE(DateTime!$B$4,DateTime!$B$5,1),Historic!A:A,"&lt;=" &amp; DateTime!$B$2)+SUMIFS(Historic!G:G,Historic!C:C,"=" &amp; H4,Historic!E:E,"&lt;&gt;",Historic!H:H,"XXXXXX")</f>
        <v>1255.94</v>
      </c>
      <c r="R4" s="169">
        <f t="shared" si="8"/>
        <v>2</v>
      </c>
      <c r="S4" s="170">
        <f t="shared" si="9"/>
        <v>0</v>
      </c>
      <c r="T4" s="171">
        <f t="shared" si="10"/>
        <v>0</v>
      </c>
      <c r="U4" s="172">
        <f t="shared" si="11"/>
        <v>0</v>
      </c>
      <c r="V4" s="173">
        <f t="array" ref="V4">INDEX(Price!$G:$K,2,ROW()-1)</f>
        <v>0.0007282371816</v>
      </c>
      <c r="W4" s="173" t="str">
        <f t="array" ref="W4">IF(AND(ABS($T4)&gt;=1000,Dashboard!$B$48+Dashboard!$B$35&gt;-$T4,OR(AND($T4&lt;0,$M4&lt;$AH4),AND($T4&gt;0,$M4&gt;$AH4),$N4=0),OR($T4*$V4&gt;0,($P$7-$O$7)*$AI4&lt;0)),IF(OR(AND($T4&lt;0,N4&lt;&gt;0),$V4&lt;AVERAGEIFS(INDEX(Price!$G:$K,0,ROW()-1),INDEX(Price!$G:$K,0,ROW()-1),"&lt;0",INDEX(Price!$G:$K,0,ROW()-1),"&gt;-0.03")*2),"BUY",IF(OR(AND($T4&gt;0,N4&lt;&gt;0),$V4&gt;AVERAGEIFS(INDEX(Price!$G:$K,0,ROW()-1),INDEX(Price!$G:$K,0,ROW()-1),"&gt;0",INDEX(Price!$G:$K,0,ROW()-1),"&lt;0.03")*2),"SELL","HOLD")),"HOLD") &amp; " (" &amp; ROUND($V4*100,2) &amp; "%)"</f>
        <v>HOLD (0.07%)</v>
      </c>
      <c r="X4" s="166">
        <f t="array" ref="X4">($M4-INDEX(Price!$B:$F,MIN(3,COLUMNS(Price!$B:$F)),ROW()-1))*$K4</f>
        <v>244.77</v>
      </c>
      <c r="Y4" s="174">
        <f t="shared" si="12"/>
        <v>0.002594123759</v>
      </c>
      <c r="Z4" s="32">
        <f>SUMIFS(Historic!G:G,Historic!D:D,"=DIVIDEND",Historic!C:C,"=" &amp; H4,Historic!H:H,"&lt;&gt;XXXXXX")</f>
        <v>3248.96</v>
      </c>
      <c r="AA4" s="173">
        <f t="shared" si="13"/>
        <v>0.034433159</v>
      </c>
      <c r="AB4" s="32">
        <f t="shared" si="14"/>
        <v>11611.94</v>
      </c>
      <c r="AC4" s="174">
        <f t="shared" si="15"/>
        <v>0.1230657738</v>
      </c>
      <c r="AD4" s="175">
        <f t="shared" ref="AD4:AE4" si="28">Z4+AB4</f>
        <v>14860.9</v>
      </c>
      <c r="AE4" s="176">
        <f t="shared" si="28"/>
        <v>0.1574989328</v>
      </c>
      <c r="AF4" s="177">
        <f t="shared" si="17"/>
        <v>0</v>
      </c>
      <c r="AG4" s="178">
        <f t="shared" si="18"/>
        <v>158.0495142</v>
      </c>
      <c r="AH4" s="178">
        <f t="array" ref="AH4">AVERAGEIFS(OFFSET(INDEX(Price!$B:$F,0,ROW()-1),0,0,ROWS(Price!$B:$F),1),Price!$A:$A,"&gt;=" &amp; DATE(DateTime!$B$4-1,DateTime!$B$5,DateTime!$B$6))</f>
        <v>167.7650391</v>
      </c>
      <c r="AI4" s="173">
        <f t="shared" si="19"/>
        <v>0.05484485035</v>
      </c>
      <c r="AJ4" s="179">
        <f t="shared" si="20"/>
        <v>0</v>
      </c>
      <c r="AK4" s="180">
        <f t="shared" si="21"/>
        <v>-0.001607748648</v>
      </c>
      <c r="AL4" s="173">
        <f t="array" ref="AL4">($AH4-AVERAGEIFS(OFFSET(INDEX(Price!$B:$F,0,ROW()-1),0,0,ROWS(Price!$B:$F),1),Price!$A:$A,"&gt;=" &amp; DATE(DateTime!$B$4-1,DateTime!$B$5-1,DateTime!$B$6),Price!$A:$A,"&lt;=" &amp; DATE(DateTime!$B$4,DateTime!$B$5-1,DateTime!$B$6)+1))/$AH4</f>
        <v>0.005895842908</v>
      </c>
      <c r="AM4" s="181">
        <f t="shared" si="22"/>
        <v>9.842079018</v>
      </c>
      <c r="AN4" s="182">
        <v>0.0</v>
      </c>
      <c r="AO4" s="183">
        <v>43643.74979052083</v>
      </c>
      <c r="AP4" s="122">
        <f>IF(MAXIFS(Historic!$A:$A,Historic!$C:$C,LEFT($H4,40)&amp;"*",Historic!$D:$D,"DIVIDEND",Historic!$G:$G,"&gt;0")&lt;&gt;0,MAXIFS(Historic!$A:$A,Historic!$C:$C,LEFT($H4,40)&amp;"*",Historic!$D:$D,"DIVIDEND",Historic!$G:$G,"&gt;0"),)</f>
        <v>43619</v>
      </c>
      <c r="AQ4" s="122">
        <f>IF(MAXIFS(Historic!$A:$A,Historic!$C:$C,LEFT($H4,40)&amp;"*",Historic!$D:$D,"DIVIDEND",Historic!$A:$A,"&lt;"&amp;AP4)&lt;&gt;0,EDATE(AP4,ROUND((AP4-MAXIFS(Historic!$A:$A,Historic!$C:$C,LEFT($H4,40)&amp;"*",Historic!$D:$D,"DIVIDEND",Historic!$A:$A,"&lt;"&amp;AP4))/365.25*12)),)</f>
        <v>43802</v>
      </c>
      <c r="AR4" s="184" t="str">
        <f>IF($AQ4,$AQ4-DateTime!$B$2&amp;"d ("&amp;ROUND(($AQ4-DateTime!$B$2)/30,1) &amp; "m)",)</f>
        <v>159d (5.3m)</v>
      </c>
      <c r="AS4" s="171">
        <f>IF($AP4,SUMIFS(Historic!$G:$G,Historic!$C:$C,LEFT($H4,40)&amp;"*",Historic!$D:$D,"DIVIDEND",Historic!$A:$A,"&gt;="&amp;$AP4)/SUMIFS(Historic!$E:$E,Historic!$C:$C,LEFT($H4,40)&amp;"*",Historic!$A:$A,"&lt;="&amp;$AP4)*$K4,)</f>
        <v>1383.01</v>
      </c>
      <c r="AT4" s="164">
        <f t="shared" si="23"/>
        <v>230.5016667</v>
      </c>
      <c r="AU4" s="164">
        <f t="shared" si="24"/>
        <v>100155.7283</v>
      </c>
      <c r="AV4" s="186">
        <f t="shared" si="25"/>
        <v>0.9868370117</v>
      </c>
      <c r="AW4" s="189">
        <f t="shared" si="26"/>
        <v>43310</v>
      </c>
      <c r="AX4" s="191">
        <f t="shared" si="27"/>
        <v>689.7868932</v>
      </c>
    </row>
    <row r="5">
      <c r="A5" s="151" t="s">
        <v>317</v>
      </c>
      <c r="B5" s="152">
        <v>0.075</v>
      </c>
      <c r="C5" s="192" t="s">
        <v>356</v>
      </c>
      <c r="D5" s="195" t="s">
        <v>395</v>
      </c>
      <c r="E5" s="156" t="s">
        <v>397</v>
      </c>
      <c r="F5" s="157" t="s">
        <v>90</v>
      </c>
      <c r="G5" s="156" t="str">
        <f t="shared" si="2"/>
        <v>PHAU</v>
      </c>
      <c r="H5" s="156" t="str">
        <f t="shared" si="3"/>
        <v>ETFS Physical Gold</v>
      </c>
      <c r="I5" s="156" t="str">
        <f t="shared" si="4"/>
        <v>Amsterdam</v>
      </c>
      <c r="J5" s="156" t="str">
        <f t="shared" si="5"/>
        <v>NA</v>
      </c>
      <c r="K5" s="159">
        <f>SUMIFS(Historic!E:E,Historic!D:D,"&lt;&gt;DIVIDEND",Historic!C:C,"=" &amp; H5)</f>
        <v>443</v>
      </c>
      <c r="L5" s="161"/>
      <c r="M5" s="161">
        <v>118.1</v>
      </c>
      <c r="N5" s="25">
        <f>IF($K5,-SUMIFS(Historic!G:G,Historic!D:D,"&lt;&gt;DIVIDEND",Historic!C:C,"=" &amp; H5)-$AN5,0)</f>
        <v>44918.11</v>
      </c>
      <c r="O5" s="164">
        <f t="shared" si="6"/>
        <v>52318.3</v>
      </c>
      <c r="P5" s="166">
        <f t="shared" si="7"/>
        <v>70738.52314</v>
      </c>
      <c r="Q5" s="32">
        <f>SUMIFS(Historic!G:G,Historic!C:C,"=" &amp; H5,Historic!E:E,"&lt;&gt;",Historic!A:A,"&gt;=" &amp; DATE(DateTime!$B$4,DateTime!$B$5,1),Historic!A:A,"&lt;=" &amp; DateTime!$B$2)+SUMIFS(Historic!G:G,Historic!C:C,"=" &amp; H5,Historic!E:E,"&lt;&gt;",Historic!H:H,"XXXXXX")</f>
        <v>6154.38</v>
      </c>
      <c r="R5" s="169">
        <f t="shared" si="8"/>
        <v>3</v>
      </c>
      <c r="S5" s="170">
        <f t="shared" si="9"/>
        <v>0</v>
      </c>
      <c r="T5" s="171">
        <f t="shared" si="10"/>
        <v>0</v>
      </c>
      <c r="U5" s="172">
        <f t="shared" si="11"/>
        <v>0</v>
      </c>
      <c r="V5" s="173">
        <f t="array" ref="V5">INDEX(Price!$G:$K,2,ROW()-1)</f>
        <v>-0.0009690417016</v>
      </c>
      <c r="W5" s="173" t="str">
        <f t="array" ref="W5">IF(AND(ABS($T5)&gt;=1000,Dashboard!$B$48+Dashboard!$B$35&gt;-$T5,OR(AND($T5&lt;0,$M5&lt;$AH5),AND($T5&gt;0,$M5&gt;$AH5),$N5=0),OR($T5*$V5&gt;0,($P$7-$O$7)*$AI5&lt;0)),IF(OR(AND($T5&lt;0,N5&lt;&gt;0),$V5&lt;AVERAGEIFS(INDEX(Price!$G:$K,0,ROW()-1),INDEX(Price!$G:$K,0,ROW()-1),"&lt;0",INDEX(Price!$G:$K,0,ROW()-1),"&gt;-0.03")*2),"BUY",IF(OR(AND($T5&gt;0,N5&lt;&gt;0),$V5&gt;AVERAGEIFS(INDEX(Price!$G:$K,0,ROW()-1),INDEX(Price!$G:$K,0,ROW()-1),"&gt;0",INDEX(Price!$G:$K,0,ROW()-1),"&lt;0.03")*2),"SELL","HOLD")),"HOLD") &amp; " (" &amp; ROUND($V5*100,2) &amp; "%)"</f>
        <v>HOLD (-0.1%)</v>
      </c>
      <c r="X5" s="166">
        <f t="array" ref="X5">($M5-INDEX(Price!$B:$F,MIN(3,COLUMNS(Price!$B:$F)),ROW()-1))*$K5</f>
        <v>-97.46</v>
      </c>
      <c r="Y5" s="174">
        <f t="shared" si="12"/>
        <v>-0.002169726197</v>
      </c>
      <c r="Z5" s="32">
        <f>SUMIFS(Historic!G:G,Historic!D:D,"=DIVIDEND",Historic!C:C,"=" &amp; H5,Historic!H:H,"&lt;&gt;XXXXXX")</f>
        <v>0</v>
      </c>
      <c r="AA5" s="173">
        <f t="shared" si="13"/>
        <v>0</v>
      </c>
      <c r="AB5" s="32">
        <f t="shared" si="14"/>
        <v>7400.19</v>
      </c>
      <c r="AC5" s="174">
        <f t="shared" si="15"/>
        <v>0.1647484723</v>
      </c>
      <c r="AD5" s="175">
        <f t="shared" ref="AD5:AE5" si="29">Z5+AB5</f>
        <v>7400.19</v>
      </c>
      <c r="AE5" s="176">
        <f t="shared" si="29"/>
        <v>0.1647484723</v>
      </c>
      <c r="AF5" s="177">
        <f t="shared" si="17"/>
        <v>0</v>
      </c>
      <c r="AG5" s="178">
        <f t="shared" si="18"/>
        <v>101.3952822</v>
      </c>
      <c r="AH5" s="178">
        <f t="array" ref="AH5">AVERAGEIFS(OFFSET(INDEX(Price!$B:$F,0,ROW()-1),0,0,ROWS(Price!$B:$F),1),Price!$A:$A,"&gt;=" &amp; DATE(DateTime!$B$4-1,DateTime!$B$5,DateTime!$B$6))</f>
        <v>105.7030469</v>
      </c>
      <c r="AI5" s="173">
        <f t="shared" si="19"/>
        <v>0.1049699672</v>
      </c>
      <c r="AJ5" s="179">
        <f t="shared" si="20"/>
        <v>0</v>
      </c>
      <c r="AK5" s="180">
        <f t="shared" si="21"/>
        <v>-0.0004335425001</v>
      </c>
      <c r="AL5" s="173">
        <f t="array" ref="AL5">($AH5-AVERAGEIFS(OFFSET(INDEX(Price!$B:$F,0,ROW()-1),0,0,ROWS(Price!$B:$F),1),Price!$A:$A,"&gt;=" &amp; DATE(DateTime!$B$4-1,DateTime!$B$5-1,DateTime!$B$6),Price!$A:$A,"&lt;=" &amp; DATE(DateTime!$B$4,DateTime!$B$5-1,DateTime!$B$6)+1))/$AH5</f>
        <v>0.007628055211</v>
      </c>
      <c r="AM5" s="181">
        <f t="shared" si="22"/>
        <v>15.37494693</v>
      </c>
      <c r="AN5" s="182">
        <v>-0.01</v>
      </c>
      <c r="AO5" s="183">
        <v>43643.74979052083</v>
      </c>
      <c r="AP5" s="122" t="str">
        <f>IF(MAXIFS(Historic!$A:$A,Historic!$C:$C,LEFT($H5,40)&amp;"*",Historic!$D:$D,"DIVIDEND",Historic!$G:$G,"&gt;0")&lt;&gt;0,MAXIFS(Historic!$A:$A,Historic!$C:$C,LEFT($H5,40)&amp;"*",Historic!$D:$D,"DIVIDEND",Historic!$G:$G,"&gt;0"),)</f>
        <v/>
      </c>
      <c r="AQ5" s="122" t="str">
        <f>IF(MAXIFS(Historic!$A:$A,Historic!$C:$C,LEFT($H5,40)&amp;"*",Historic!$D:$D,"DIVIDEND",Historic!$A:$A,"&lt;"&amp;AP5)&lt;&gt;0,EDATE(AP5,ROUND((AP5-MAXIFS(Historic!$A:$A,Historic!$C:$C,LEFT($H5,40)&amp;"*",Historic!$D:$D,"DIVIDEND",Historic!$A:$A,"&lt;"&amp;AP5))/365.25*12)),)</f>
        <v/>
      </c>
      <c r="AR5" s="184" t="str">
        <f>IF($AQ5,$AQ5-DateTime!$B$2&amp;"d ("&amp;ROUND(($AQ5-DateTime!$B$2)/30,1) &amp; "m)",)</f>
        <v/>
      </c>
      <c r="AS5" s="171" t="str">
        <f>IF($AP5,SUMIFS(Historic!$G:$G,Historic!$C:$C,LEFT($H5,40)&amp;"*",Historic!$D:$D,"DIVIDEND",Historic!$A:$A,"&gt;="&amp;$AP5)/SUMIFS(Historic!$E:$E,Historic!$C:$C,LEFT($H5,40)&amp;"*",Historic!$A:$A,"&lt;="&amp;$AP5)*$K5,)</f>
        <v/>
      </c>
      <c r="AT5" s="164">
        <f t="shared" si="23"/>
        <v>0</v>
      </c>
      <c r="AU5" s="164">
        <f t="shared" si="24"/>
        <v>46826.44977</v>
      </c>
      <c r="AV5" s="186">
        <f t="shared" si="25"/>
        <v>0.9696396805</v>
      </c>
      <c r="AW5" s="189">
        <f t="shared" si="26"/>
        <v>18305.5</v>
      </c>
      <c r="AX5" s="191">
        <f t="shared" si="27"/>
        <v>140.8970703</v>
      </c>
    </row>
    <row r="6">
      <c r="A6" s="151" t="s">
        <v>328</v>
      </c>
      <c r="B6" s="152">
        <v>0.075</v>
      </c>
      <c r="C6" s="192" t="s">
        <v>356</v>
      </c>
      <c r="D6" s="195" t="s">
        <v>420</v>
      </c>
      <c r="E6" s="156" t="s">
        <v>421</v>
      </c>
      <c r="F6" s="157" t="s">
        <v>108</v>
      </c>
      <c r="G6" s="156" t="str">
        <f t="shared" si="2"/>
        <v>AIGCP</v>
      </c>
      <c r="H6" s="156" t="str">
        <f t="shared" si="3"/>
        <v>ETFS All Commodities ETC</v>
      </c>
      <c r="I6" s="156" t="str">
        <f t="shared" si="4"/>
        <v>Paris</v>
      </c>
      <c r="J6" s="156" t="str">
        <f t="shared" si="5"/>
        <v>FP</v>
      </c>
      <c r="K6" s="159">
        <f>SUMIFS(Historic!E:E,Historic!D:D,"&lt;&gt;DIVIDEND",Historic!C:C,"=" &amp; H6)</f>
        <v>11470</v>
      </c>
      <c r="L6" s="196"/>
      <c r="M6" s="196">
        <v>7.202</v>
      </c>
      <c r="N6" s="25">
        <f>IF($K6,-SUMIFS(Historic!G:G,Historic!D:D,"&lt;&gt;DIVIDEND",Historic!C:C,"=" &amp; H6)-$AN6,0)</f>
        <v>83154.48</v>
      </c>
      <c r="O6" s="164">
        <f t="shared" si="6"/>
        <v>82606.94</v>
      </c>
      <c r="P6" s="166">
        <f t="shared" si="7"/>
        <v>80344.78322</v>
      </c>
      <c r="Q6" s="32">
        <f>SUMIFS(Historic!G:G,Historic!C:C,"=" &amp; H6,Historic!E:E,"&lt;&gt;",Historic!A:A,"&gt;=" &amp; DATE(DateTime!$B$4,DateTime!$B$5,1),Historic!A:A,"&lt;=" &amp; DateTime!$B$2)+SUMIFS(Historic!G:G,Historic!C:C,"=" &amp; H6,Historic!E:E,"&lt;&gt;",Historic!H:H,"XXXXXX")</f>
        <v>-23068.7</v>
      </c>
      <c r="R6" s="169">
        <f t="shared" si="8"/>
        <v>4</v>
      </c>
      <c r="S6" s="170">
        <f t="shared" si="9"/>
        <v>0</v>
      </c>
      <c r="T6" s="171">
        <f t="shared" si="10"/>
        <v>0</v>
      </c>
      <c r="U6" s="172">
        <f t="shared" si="11"/>
        <v>0</v>
      </c>
      <c r="V6" s="173">
        <f t="array" ref="V6">INDEX(Price!$G:$K,2,ROW()-1)</f>
        <v>0.004589406892</v>
      </c>
      <c r="W6" s="173" t="str">
        <f t="array" ref="W6">IF(AND(ABS($T6)&gt;=1000,Dashboard!$B$48+Dashboard!$B$35&gt;-$T6,OR(AND($T6&lt;0,$M6&lt;$AH6),AND($T6&gt;0,$M6&gt;$AH6),$N6=0),OR($T6*$V6&gt;0,($P$7-$O$7)*$AI6&lt;0)),IF(OR(AND($T6&lt;0,N6&lt;&gt;0),$V6&lt;AVERAGEIFS(INDEX(Price!$G:$K,0,ROW()-1),INDEX(Price!$G:$K,0,ROW()-1),"&lt;0",INDEX(Price!$G:$K,0,ROW()-1),"&gt;-0.03")*2),"BUY",IF(OR(AND($T6&gt;0,N6&lt;&gt;0),$V6&gt;AVERAGEIFS(INDEX(Price!$G:$K,0,ROW()-1),INDEX(Price!$G:$K,0,ROW()-1),"&gt;0",INDEX(Price!$G:$K,0,ROW()-1),"&lt;0.03")*2),"SELL","HOLD")),"HOLD") &amp; " (" &amp; ROUND($V6*100,2) &amp; "%)"</f>
        <v>HOLD (0.46%)</v>
      </c>
      <c r="X6" s="166">
        <f t="array" ref="X6">($M6-INDEX(Price!$B:$F,MIN(3,COLUMNS(Price!$B:$F)),ROW()-1))*$K6</f>
        <v>-126.17</v>
      </c>
      <c r="Y6" s="174">
        <f t="shared" si="12"/>
        <v>-0.001517296482</v>
      </c>
      <c r="Z6" s="32">
        <f>SUMIFS(Historic!G:G,Historic!D:D,"=DIVIDEND",Historic!C:C,"=" &amp; H6,Historic!H:H,"&lt;&gt;XXXXXX")</f>
        <v>0</v>
      </c>
      <c r="AA6" s="173">
        <f t="shared" si="13"/>
        <v>0</v>
      </c>
      <c r="AB6" s="32">
        <f t="shared" si="14"/>
        <v>-547.54</v>
      </c>
      <c r="AC6" s="174">
        <f t="shared" si="15"/>
        <v>-0.006584612158</v>
      </c>
      <c r="AD6" s="197">
        <f t="shared" ref="AD6:AE6" si="30">Z6+AB6</f>
        <v>-547.54</v>
      </c>
      <c r="AE6" s="176">
        <f t="shared" si="30"/>
        <v>-0.006584612158</v>
      </c>
      <c r="AF6" s="177">
        <f t="shared" si="17"/>
        <v>0</v>
      </c>
      <c r="AG6" s="178">
        <f t="shared" si="18"/>
        <v>7.249736704</v>
      </c>
      <c r="AH6" s="178">
        <f t="array" ref="AH6">AVERAGEIFS(OFFSET(INDEX(Price!$B:$F,0,ROW()-1),0,0,ROWS(Price!$B:$F),1),Price!$A:$A,"&gt;=" &amp; DATE(DateTime!$B$4-1,DateTime!$B$5,DateTime!$B$6))</f>
        <v>7.321371094</v>
      </c>
      <c r="AI6" s="173">
        <f t="shared" si="19"/>
        <v>-0.01657471449</v>
      </c>
      <c r="AJ6" s="179">
        <f t="shared" si="20"/>
        <v>0</v>
      </c>
      <c r="AK6" s="180">
        <f t="shared" si="21"/>
        <v>0.05176359694</v>
      </c>
      <c r="AL6" s="173">
        <f t="array" ref="AL6">($AH6-AVERAGEIFS(OFFSET(INDEX(Price!$B:$F,0,ROW()-1),0,0,ROWS(Price!$B:$F),1),Price!$A:$A,"&gt;=" &amp; DATE(DateTime!$B$4-1,DateTime!$B$5-1,DateTime!$B$6),Price!$A:$A,"&lt;=" &amp; DATE(DateTime!$B$4,DateTime!$B$5-1,DateTime!$B$6)+1))/$AH6</f>
        <v>-0.002997594649</v>
      </c>
      <c r="AM6" s="181">
        <f t="shared" si="22"/>
        <v>5.43918522</v>
      </c>
      <c r="AN6" s="182">
        <v>0.01</v>
      </c>
      <c r="AO6" s="183">
        <v>43643.74979052083</v>
      </c>
      <c r="AP6" s="122" t="str">
        <f>IF(MAXIFS(Historic!$A:$A,Historic!$C:$C,LEFT($H6,40)&amp;"*",Historic!$D:$D,"DIVIDEND",Historic!$G:$G,"&gt;0")&lt;&gt;0,MAXIFS(Historic!$A:$A,Historic!$C:$C,LEFT($H6,40)&amp;"*",Historic!$D:$D,"DIVIDEND",Historic!$G:$G,"&gt;0"),)</f>
        <v/>
      </c>
      <c r="AQ6" s="122" t="str">
        <f>IF(MAXIFS(Historic!$A:$A,Historic!$C:$C,LEFT($H6,40)&amp;"*",Historic!$D:$D,"DIVIDEND",Historic!$A:$A,"&lt;"&amp;AP6)&lt;&gt;0,EDATE(AP6,ROUND((AP6-MAXIFS(Historic!$A:$A,Historic!$C:$C,LEFT($H6,40)&amp;"*",Historic!$D:$D,"DIVIDEND",Historic!$A:$A,"&lt;"&amp;AP6))/365.25*12)),)</f>
        <v/>
      </c>
      <c r="AR6" s="184" t="str">
        <f>IF($AQ6,$AQ6-DateTime!$B$2&amp;"d ("&amp;ROUND(($AQ6-DateTime!$B$2)/30,1) &amp; "m)",)</f>
        <v/>
      </c>
      <c r="AS6" s="171" t="str">
        <f>IF($AP6,SUMIFS(Historic!$G:$G,Historic!$C:$C,LEFT($H6,40)&amp;"*",Historic!$D:$D,"DIVIDEND",Historic!$A:$A,"&gt;="&amp;$AP6)/SUMIFS(Historic!$E:$E,Historic!$C:$C,LEFT($H6,40)&amp;"*",Historic!$A:$A,"&lt;="&amp;$AP6)*$K6,)</f>
        <v/>
      </c>
      <c r="AT6" s="164">
        <f t="shared" si="23"/>
        <v>0</v>
      </c>
      <c r="AU6" s="164">
        <f t="shared" si="24"/>
        <v>83976.12645</v>
      </c>
      <c r="AV6" s="186">
        <f t="shared" si="25"/>
        <v>0.8316848993</v>
      </c>
      <c r="AW6" s="189">
        <f t="shared" si="26"/>
        <v>-2261.428</v>
      </c>
      <c r="AX6" s="191">
        <f t="shared" si="27"/>
        <v>-21903.50468</v>
      </c>
    </row>
    <row r="7">
      <c r="A7" s="198" t="s">
        <v>439</v>
      </c>
      <c r="B7" s="199">
        <f>SUM(B$1:B$6)</f>
        <v>1</v>
      </c>
      <c r="C7" s="201"/>
      <c r="D7" s="203"/>
      <c r="E7" s="205"/>
      <c r="F7" s="205"/>
      <c r="G7" s="203"/>
      <c r="H7" s="198" t="s">
        <v>439</v>
      </c>
      <c r="I7" s="201"/>
      <c r="J7" s="201"/>
      <c r="K7" s="207"/>
      <c r="L7" s="210"/>
      <c r="M7" s="211" t="str">
        <f>IFERROR(__xludf.DUMMYFUNCTION("IF($J7&lt;&gt;"""",IMPORTXML(""https://www.investing.com/etfs/""&amp;$D7,""//span[@id='last_last']""),)"),"")</f>
        <v/>
      </c>
      <c r="N7" s="212">
        <f>SUM(N$1:N$6)-$AN$7</f>
        <v>666082.88</v>
      </c>
      <c r="O7" s="212">
        <f>SUM(O$1:O$6)</f>
        <v>723733.711</v>
      </c>
      <c r="P7" s="213">
        <f>(Allocation!B$17+Dashboard!B20+Dashboard!B57+$AS$7)*(1+$AI$7)</f>
        <v>1053797.385</v>
      </c>
      <c r="Q7" s="215">
        <f>SUM(Q1:Q5)</f>
        <v>20162.92</v>
      </c>
      <c r="R7" s="212"/>
      <c r="S7" s="212">
        <f>$P$7-$O$7</f>
        <v>330063.6745</v>
      </c>
      <c r="T7" s="212">
        <f>SUM(T$1:T$6)</f>
        <v>0</v>
      </c>
      <c r="U7" s="221">
        <f>$P$7-$O$7-SUM(ROUNDDOWN(($P2-$O2)/$M2)*$M2,ROUNDDOWN(($P3-$O3)/$M3)*$M3,ROUNDDOWN(($P4-$O4)/$M4)*$M4,ROUNDDOWN(($P5-$O5)/$M5)*$M5,ROUNDDOWN(($P6-$O6)/$M6)*$M6)</f>
        <v>66084.13845</v>
      </c>
      <c r="V7" s="215"/>
      <c r="W7" s="222" t="str">
        <f>IFERROR(__xludf.DUMMYFUNCTION("INDEX(SPLIT(IFERROR(VLOOKUP(""SELL*"",$W$2:$W$6,1,FALSE),IFERROR(VLOOKUP(""BUY*"",$W$2:$W$6,1,FALSE),""HOLD"")),"" ""),1,1)"),"HOLD")</f>
        <v>HOLD</v>
      </c>
      <c r="X7" s="213">
        <f>SUM(X$1:X$6)</f>
        <v>201.881</v>
      </c>
      <c r="Y7" s="223">
        <f>IF(OR(X$7=0,$N$7=0),0,X$7/$N$7)</f>
        <v>0.0003030869071</v>
      </c>
      <c r="Z7" s="212">
        <f>SUM(Z$1:Z$6)</f>
        <v>10789.14</v>
      </c>
      <c r="AA7" s="224">
        <f>IF(OR(Z$7=0,$N$7=0),0,Z$7/$N$7)</f>
        <v>0.01619789417</v>
      </c>
      <c r="AB7" s="212">
        <f>SUM(AB$1:AB$6)</f>
        <v>57650.841</v>
      </c>
      <c r="AC7" s="223">
        <f>IF(OR(AB$7=0,$N$7=0),0,AB$7/$N$7)</f>
        <v>0.0865520534</v>
      </c>
      <c r="AD7" s="225">
        <f>SUM(AD$1:AD$6)</f>
        <v>68439.981</v>
      </c>
      <c r="AE7" s="224">
        <f>$AA$7+$AC$7</f>
        <v>0.1027499476</v>
      </c>
      <c r="AF7" s="226">
        <f t="array" ref="AF7">SUMIFS(Historic!G:G,Historic!D:D,"=COST",Historic!B:B,"",Historic!A:A,"&gt;="&amp;INDEX(Evolution!A:A, ROWS(Evolution!A:A)))</f>
        <v>-7840.18</v>
      </c>
      <c r="AG7" s="227"/>
      <c r="AH7" s="212"/>
      <c r="AI7" s="228">
        <f>SUMPRODUCT(AI$2:AI$6,$B$2:$B$6)</f>
        <v>0.06243960731</v>
      </c>
      <c r="AJ7" s="229">
        <f t="shared" ref="AJ7:AK7" si="31">SUM(AJ$1:AJ$6)</f>
        <v>0</v>
      </c>
      <c r="AK7" s="230">
        <f t="shared" si="31"/>
        <v>0.02329903027</v>
      </c>
      <c r="AL7" s="230">
        <f>SUMPRODUCT(AL2:AL6,$B2:$B6)</f>
        <v>0.006431346896</v>
      </c>
      <c r="AM7" s="231"/>
      <c r="AN7" s="232">
        <v>-0.01</v>
      </c>
      <c r="AO7" s="233">
        <f>DateTime!$B$1-MAX($AO2:$AO6)</f>
        <v>0.1402622917</v>
      </c>
      <c r="AP7" s="234"/>
      <c r="AQ7" s="234"/>
      <c r="AR7" s="235"/>
      <c r="AS7" s="236">
        <f>SUMIFS($AS$2:$AS$6,$AQ$2:$AQ$6,"&lt;="&amp;DateTime!$B$2+15)</f>
        <v>915.1782125</v>
      </c>
      <c r="AT7" s="236">
        <f t="shared" ref="AT7:AU7" si="32">SUM(AT$1:AT$6)</f>
        <v>1123.159404</v>
      </c>
      <c r="AU7" s="212">
        <f t="shared" si="32"/>
        <v>681056.047</v>
      </c>
      <c r="AV7" s="237">
        <f>SUMPRODUCT(AV2:AV6,$B2:$B6)</f>
        <v>0.9767009697</v>
      </c>
      <c r="AW7" s="238">
        <f t="shared" ref="AW7:AX7" si="33">SUM(AW$1:AW$6)</f>
        <v>330060.466</v>
      </c>
      <c r="AX7" s="239">
        <f t="shared" si="33"/>
        <v>9962.087619</v>
      </c>
    </row>
  </sheetData>
  <conditionalFormatting sqref="AK2:AK6">
    <cfRule type="cellIs" dxfId="2" priority="1" operator="lessThan">
      <formula>-0.03</formula>
    </cfRule>
  </conditionalFormatting>
  <conditionalFormatting sqref="AK2:AK6">
    <cfRule type="cellIs" dxfId="3" priority="2" operator="greaterThan">
      <formula>0.03</formula>
    </cfRule>
  </conditionalFormatting>
  <conditionalFormatting sqref="T2:T6">
    <cfRule type="expression" dxfId="0" priority="3">
      <formula>AND(ABS(T2)&gt;=1000,LEFT(W2,4)&lt;&gt;"HOLD")</formula>
    </cfRule>
  </conditionalFormatting>
  <conditionalFormatting sqref="X2:Y7 AD2:AE7">
    <cfRule type="cellIs" dxfId="4" priority="4" operator="greaterThan">
      <formula>0</formula>
    </cfRule>
  </conditionalFormatting>
  <conditionalFormatting sqref="X2:Y7 AD2:AE7">
    <cfRule type="cellIs" dxfId="5" priority="5" operator="lessThan">
      <formula>0</formula>
    </cfRule>
  </conditionalFormatting>
  <conditionalFormatting sqref="V2:W6">
    <cfRule type="beginsWith" dxfId="6" priority="6" operator="beginsWith" text="SELL">
      <formula>LEFT((V2),LEN("SELL"))=("SELL")</formula>
    </cfRule>
  </conditionalFormatting>
  <conditionalFormatting sqref="V2:W6">
    <cfRule type="beginsWith" dxfId="7" priority="7" operator="beginsWith" text="BUY">
      <formula>LEFT((V2),LEN("BUY"))=("BUY")</formula>
    </cfRule>
  </conditionalFormatting>
  <conditionalFormatting sqref="X2:AF7 AI2:AI7">
    <cfRule type="cellIs" dxfId="8" priority="8" operator="equal">
      <formula>0</formula>
    </cfRule>
  </conditionalFormatting>
  <conditionalFormatting sqref="AI1:AI7">
    <cfRule type="cellIs" dxfId="9" priority="9" operator="lessThan">
      <formula>0</formula>
    </cfRule>
  </conditionalFormatting>
  <conditionalFormatting sqref="AI1:AI7">
    <cfRule type="cellIs" dxfId="10" priority="10" operator="greaterThan">
      <formula>0</formula>
    </cfRule>
  </conditionalFormatting>
  <conditionalFormatting sqref="S2:T6">
    <cfRule type="expression" dxfId="0" priority="11">
      <formula>LEFT($W2,4)&lt;&gt;"HOLD"</formula>
    </cfRule>
  </conditionalFormatting>
  <conditionalFormatting sqref="S2:T6">
    <cfRule type="expression" dxfId="11" priority="12">
      <formula>LEFT($W2,4)="HOLD"</formula>
    </cfRule>
  </conditionalFormatting>
  <conditionalFormatting sqref="N2:N7">
    <cfRule type="expression" dxfId="12" priority="13">
      <formula>ABS($AN2)&gt;0.01</formula>
    </cfRule>
  </conditionalFormatting>
  <conditionalFormatting sqref="AS2:AS6">
    <cfRule type="expression" dxfId="7" priority="14">
      <formula>AND(AQ2&lt;&gt;"",AQ2&lt;TODAY()+15)</formula>
    </cfRule>
  </conditionalFormatting>
  <conditionalFormatting sqref="AS7">
    <cfRule type="cellIs" dxfId="9" priority="15" operator="greaterThan">
      <formula>0</formula>
    </cfRule>
  </conditionalFormatting>
  <drawing r:id="rId2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2.75"/>
  <cols>
    <col customWidth="1" min="1" max="1" width="10.43"/>
    <col customWidth="1" min="2" max="2" width="29.71"/>
    <col customWidth="1" min="3" max="3" width="48.57"/>
    <col customWidth="1" min="4" max="4" width="21.71"/>
    <col customWidth="1" min="5" max="5" width="11.57"/>
    <col customWidth="1" min="6" max="6" width="10.43"/>
    <col customWidth="1" min="7" max="7" width="12.43"/>
    <col customWidth="1" min="8" max="8" width="71.0"/>
    <col customWidth="1" min="9" max="9" width="12.57"/>
    <col customWidth="1" min="10" max="10" width="12.86"/>
    <col customWidth="1" hidden="1" min="11" max="11" width="30.14"/>
    <col customWidth="1" hidden="1" min="12" max="12" width="6.29"/>
    <col customWidth="1" hidden="1" min="13" max="13" width="10.57"/>
    <col customWidth="1" hidden="1" min="14" max="14" width="12.57"/>
    <col customWidth="1" hidden="1" min="15" max="15" width="12.71"/>
    <col customWidth="1" hidden="1" min="16" max="16" width="48.0"/>
    <col customWidth="1" hidden="1" min="17" max="17" width="6.29"/>
    <col customWidth="1" hidden="1" min="18" max="18" width="13.14"/>
  </cols>
  <sheetData>
    <row r="1">
      <c r="A1" s="1" t="s">
        <v>0</v>
      </c>
      <c r="B1" s="1" t="s">
        <v>60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77</v>
      </c>
      <c r="I1" s="1" t="s">
        <v>258</v>
      </c>
      <c r="J1" s="1" t="s">
        <v>259</v>
      </c>
      <c r="K1" s="1"/>
      <c r="L1" s="1"/>
      <c r="M1" s="1"/>
      <c r="N1" s="1"/>
      <c r="O1" s="1"/>
      <c r="P1" s="1" t="str">
        <f>IFERROR(__xludf.DUMMYFUNCTION("UNIQUE(K:M)"),"")</f>
        <v/>
      </c>
      <c r="Q1" s="1" t="str">
        <f>IFERROR(__xludf.DUMMYFUNCTION("""COMPUTED_VALUE"""),"")</f>
        <v/>
      </c>
      <c r="R1" s="1" t="str">
        <f>IFERROR(__xludf.DUMMYFUNCTION("""COMPUTED_VALUE"""),"")</f>
        <v/>
      </c>
    </row>
    <row r="2">
      <c r="A2" s="122">
        <v>43643.0</v>
      </c>
      <c r="B2" s="124" t="s">
        <v>268</v>
      </c>
      <c r="C2" s="124" t="s">
        <v>270</v>
      </c>
      <c r="D2" s="124" t="s">
        <v>272</v>
      </c>
      <c r="E2" s="125"/>
      <c r="F2" s="126"/>
      <c r="G2" s="128">
        <v>-487.06</v>
      </c>
      <c r="H2" s="130" t="s">
        <v>274</v>
      </c>
      <c r="I2" s="138" t="str">
        <f t="shared" ref="I2:J2" si="1">IFS(AND($B2&lt;&gt;"",$E2&lt;&gt;""),IF(INDEX(N:N,MATCH($C2,$P:$P,0),1)&lt;&gt;"",$E2*INDEX(N:N,MATCH($C2,$P:$P,0),1)+$G2,""),AND($B2&lt;&gt;"",$D2="COST",$G2&lt;0),$G2,TRUE,)</f>
        <v/>
      </c>
      <c r="J2" s="138" t="str">
        <f t="shared" si="1"/>
        <v/>
      </c>
      <c r="K2" s="141" t="str">
        <f t="shared" ref="K2:K679" si="3">C2</f>
        <v>iShares Treasury Bond 20+ UCITS</v>
      </c>
      <c r="L2" s="145">
        <f t="shared" ref="L2:L679" si="4">IF($K2&lt;&gt;"", SUMIF($K:$K, $K2, E:E), "")</f>
        <v>62993</v>
      </c>
      <c r="M2" s="148">
        <f t="shared" ref="M2:M679" si="5">IF($K2&lt;&gt;"", SUMIF($K:$K, $K2, G:G), "")</f>
        <v>-252853.59</v>
      </c>
      <c r="N2" s="155">
        <f>IF($P2&lt;&gt;"",IF(MAXIFS(Investment!$M:$M,Investment!$H:$H,LEFT($P2,30)&amp;"*"),MAXIFS(Investment!$M:$M,Investment!$H:$H,LEFT($P2,30)&amp;"*"),),)</f>
        <v>4.346</v>
      </c>
      <c r="O2" s="158">
        <f>IF($P2&lt;&gt;"",IF(MAXIFS(Investment!$AH:$AH,Investment!$H:$H,LEFT($P2,30)&amp;"*"),MAXIFS(Investment!$AH:$AH,Investment!$H:$H,LEFT($P2,30)&amp;"*"),),)</f>
        <v>3.982394336</v>
      </c>
      <c r="P2" s="141" t="str">
        <f>IFERROR(__xludf.DUMMYFUNCTION("""COMPUTED_VALUE"""),"iShares Treasury Bond 20+ UCITS")</f>
        <v>iShares Treasury Bond 20+ UCITS</v>
      </c>
      <c r="Q2" s="145">
        <f>IFERROR(__xludf.DUMMYFUNCTION("""COMPUTED_VALUE"""),62993.0)</f>
        <v>62993</v>
      </c>
      <c r="R2" s="138">
        <f>IFERROR(__xludf.DUMMYFUNCTION("""COMPUTED_VALUE"""),-252853.59000000003)</f>
        <v>-252853.59</v>
      </c>
    </row>
    <row r="3">
      <c r="A3" s="122">
        <v>43642.0</v>
      </c>
      <c r="B3" s="124" t="s">
        <v>268</v>
      </c>
      <c r="C3" s="124" t="s">
        <v>270</v>
      </c>
      <c r="D3" s="124" t="s">
        <v>272</v>
      </c>
      <c r="E3" s="125"/>
      <c r="F3" s="126"/>
      <c r="G3" s="128">
        <v>4012.65</v>
      </c>
      <c r="H3" s="130" t="s">
        <v>309</v>
      </c>
      <c r="I3" s="138" t="str">
        <f t="shared" ref="I3:J3" si="2">IFS(AND($B3&lt;&gt;"",$E3&lt;&gt;""),IF(INDEX(N:N,MATCH($C3,$P:$P,0),1)&lt;&gt;"",$E3*INDEX(N:N,MATCH($C3,$P:$P,0),1)+$G3,""),AND($B3&lt;&gt;"",$D3="COST",$G3&lt;0),$G3,TRUE,)</f>
        <v/>
      </c>
      <c r="J3" s="138" t="str">
        <f t="shared" si="2"/>
        <v/>
      </c>
      <c r="K3" s="160" t="str">
        <f t="shared" si="3"/>
        <v>iShares Treasury Bond 20+ UCITS</v>
      </c>
      <c r="L3" s="162">
        <f t="shared" si="4"/>
        <v>62993</v>
      </c>
      <c r="M3" s="163">
        <f t="shared" si="5"/>
        <v>-252853.59</v>
      </c>
      <c r="N3" s="165" t="str">
        <f>IF($P3&lt;&gt;"",IF(MAXIFS(Investment!$M:$M,Investment!$H:$H,LEFT($P3,30)&amp;"*"),MAXIFS(Investment!$M:$M,Investment!$H:$H,LEFT($P3,30)&amp;"*"),),)</f>
        <v/>
      </c>
      <c r="O3" s="167" t="str">
        <f>IF($P3&lt;&gt;"",IF(MAXIFS(Investment!$AH:$AH,Investment!$H:$H,LEFT($P3,30)&amp;"*"),MAXIFS(Investment!$AH:$AH,Investment!$H:$H,LEFT($P3,30)&amp;"*"),),)</f>
        <v/>
      </c>
      <c r="P3" s="160" t="str">
        <f>IFERROR(__xludf.DUMMYFUNCTION("""COMPUTED_VALUE"""),"")</f>
        <v/>
      </c>
      <c r="Q3" s="162" t="str">
        <f>IFERROR(__xludf.DUMMYFUNCTION("""COMPUTED_VALUE"""),"")</f>
        <v/>
      </c>
      <c r="R3" s="168" t="str">
        <f>IFERROR(__xludf.DUMMYFUNCTION("""COMPUTED_VALUE"""),"")</f>
        <v/>
      </c>
    </row>
    <row r="4">
      <c r="A4" s="122">
        <v>43642.0</v>
      </c>
      <c r="B4" s="124"/>
      <c r="C4" s="124"/>
      <c r="D4" s="124" t="s">
        <v>312</v>
      </c>
      <c r="E4" s="125"/>
      <c r="F4" s="126"/>
      <c r="G4" s="128">
        <v>2000.0</v>
      </c>
      <c r="H4" s="130" t="s">
        <v>313</v>
      </c>
      <c r="I4" s="138" t="str">
        <f t="shared" ref="I4:J4" si="6">IFS(AND($B4&lt;&gt;"",$E4&lt;&gt;""),IF(INDEX(N:N,MATCH($C4,$P:$P,0),1)&lt;&gt;"",$E4*INDEX(N:N,MATCH($C4,$P:$P,0),1)+$G4,""),AND($B4&lt;&gt;"",$D4="COST",$G4&lt;0),$G4,TRUE,)</f>
        <v/>
      </c>
      <c r="J4" s="138" t="str">
        <f t="shared" si="6"/>
        <v/>
      </c>
      <c r="K4" s="160" t="str">
        <f t="shared" si="3"/>
        <v/>
      </c>
      <c r="L4" s="162" t="str">
        <f t="shared" si="4"/>
        <v/>
      </c>
      <c r="M4" s="163" t="str">
        <f t="shared" si="5"/>
        <v/>
      </c>
      <c r="N4" s="165">
        <f>IF($P4&lt;&gt;"",IF(MAXIFS(Investment!$M:$M,Investment!$H:$H,LEFT($P4,30)&amp;"*"),MAXIFS(Investment!$M:$M,Investment!$H:$H,LEFT($P4,30)&amp;"*"),),)</f>
        <v>118.1</v>
      </c>
      <c r="O4" s="167">
        <f>IF($P4&lt;&gt;"",IF(MAXIFS(Investment!$AH:$AH,Investment!$H:$H,LEFT($P4,30)&amp;"*"),MAXIFS(Investment!$AH:$AH,Investment!$H:$H,LEFT($P4,30)&amp;"*"),),)</f>
        <v>105.7030469</v>
      </c>
      <c r="P4" s="160" t="str">
        <f>IFERROR(__xludf.DUMMYFUNCTION("""COMPUTED_VALUE"""),"ETFS Physical Gold")</f>
        <v>ETFS Physical Gold</v>
      </c>
      <c r="Q4" s="162">
        <f>IFERROR(__xludf.DUMMYFUNCTION("""COMPUTED_VALUE"""),443.0)</f>
        <v>443</v>
      </c>
      <c r="R4" s="168">
        <f>IFERROR(__xludf.DUMMYFUNCTION("""COMPUTED_VALUE"""),-44918.1)</f>
        <v>-44918.1</v>
      </c>
    </row>
    <row r="5">
      <c r="A5" s="122">
        <v>43641.0</v>
      </c>
      <c r="B5" s="124" t="s">
        <v>317</v>
      </c>
      <c r="C5" s="124" t="s">
        <v>318</v>
      </c>
      <c r="D5" s="124" t="s">
        <v>319</v>
      </c>
      <c r="E5" s="125">
        <v>-9.0</v>
      </c>
      <c r="F5" s="126">
        <v>119.82</v>
      </c>
      <c r="G5" s="128">
        <v>1078.38</v>
      </c>
      <c r="H5" s="130" t="s">
        <v>320</v>
      </c>
      <c r="I5" s="138">
        <f t="shared" ref="I5:J5" si="7">IFS(AND($B5&lt;&gt;"",$E5&lt;&gt;""),IF(INDEX(N:N,MATCH($C5,$P:$P,0),1)&lt;&gt;"",$E5*INDEX(N:N,MATCH($C5,$P:$P,0),1)+$G5,""),AND($B5&lt;&gt;"",$D5="COST",$G5&lt;0),$G5,TRUE,)</f>
        <v>15.48</v>
      </c>
      <c r="J5" s="138">
        <f t="shared" si="7"/>
        <v>127.0525781</v>
      </c>
      <c r="K5" s="160" t="str">
        <f t="shared" si="3"/>
        <v>ETFS Physical Gold</v>
      </c>
      <c r="L5" s="162">
        <f t="shared" si="4"/>
        <v>443</v>
      </c>
      <c r="M5" s="163">
        <f t="shared" si="5"/>
        <v>-44918.1</v>
      </c>
      <c r="N5" s="165">
        <f>IF($P5&lt;&gt;"",IF(MAXIFS(Investment!$M:$M,Investment!$H:$H,LEFT($P5,30)&amp;"*"),MAXIFS(Investment!$M:$M,Investment!$H:$H,LEFT($P5,30)&amp;"*"),),)</f>
        <v>7.202</v>
      </c>
      <c r="O5" s="167">
        <f>IF($P5&lt;&gt;"",IF(MAXIFS(Investment!$AH:$AH,Investment!$H:$H,LEFT($P5,30)&amp;"*"),MAXIFS(Investment!$AH:$AH,Investment!$H:$H,LEFT($P5,30)&amp;"*"),),)</f>
        <v>7.321371094</v>
      </c>
      <c r="P5" s="160" t="str">
        <f>IFERROR(__xludf.DUMMYFUNCTION("""COMPUTED_VALUE"""),"ETFS All Commodities ETC")</f>
        <v>ETFS All Commodities ETC</v>
      </c>
      <c r="Q5" s="162">
        <f>IFERROR(__xludf.DUMMYFUNCTION("""COMPUTED_VALUE"""),11470.0)</f>
        <v>11470</v>
      </c>
      <c r="R5" s="168">
        <f>IFERROR(__xludf.DUMMYFUNCTION("""COMPUTED_VALUE"""),-83154.49)</f>
        <v>-83154.49</v>
      </c>
    </row>
    <row r="6">
      <c r="A6" s="122">
        <v>43640.0</v>
      </c>
      <c r="B6" s="124" t="s">
        <v>317</v>
      </c>
      <c r="C6" s="124" t="s">
        <v>318</v>
      </c>
      <c r="D6" s="124" t="s">
        <v>319</v>
      </c>
      <c r="E6" s="125">
        <v>-9.0</v>
      </c>
      <c r="F6" s="126">
        <v>117.66</v>
      </c>
      <c r="G6" s="128">
        <v>1058.94</v>
      </c>
      <c r="H6" s="130" t="s">
        <v>321</v>
      </c>
      <c r="I6" s="138">
        <f t="shared" ref="I6:J6" si="8">IFS(AND($B6&lt;&gt;"",$E6&lt;&gt;""),IF(INDEX(N:N,MATCH($C6,$P:$P,0),1)&lt;&gt;"",$E6*INDEX(N:N,MATCH($C6,$P:$P,0),1)+$G6,""),AND($B6&lt;&gt;"",$D6="COST",$G6&lt;0),$G6,TRUE,)</f>
        <v>-3.96</v>
      </c>
      <c r="J6" s="138">
        <f t="shared" si="8"/>
        <v>107.6125781</v>
      </c>
      <c r="K6" s="160" t="str">
        <f t="shared" si="3"/>
        <v>ETFS Physical Gold</v>
      </c>
      <c r="L6" s="162">
        <f t="shared" si="4"/>
        <v>443</v>
      </c>
      <c r="M6" s="163">
        <f t="shared" si="5"/>
        <v>-44918.1</v>
      </c>
      <c r="N6" s="165">
        <f>IF($P6&lt;&gt;"",IF(MAXIFS(Investment!$M:$M,Investment!$H:$H,LEFT($P6,30)&amp;"*"),MAXIFS(Investment!$M:$M,Investment!$H:$H,LEFT($P6,30)&amp;"*"),),)</f>
        <v>48.701</v>
      </c>
      <c r="O6" s="167">
        <f>IF($P6&lt;&gt;"",IF(MAXIFS(Investment!$AH:$AH,Investment!$H:$H,LEFT($P6,30)&amp;"*"),MAXIFS(Investment!$AH:$AH,Investment!$H:$H,LEFT($P6,30)&amp;"*"),),)</f>
        <v>46.40921875</v>
      </c>
      <c r="P6" s="160" t="str">
        <f>IFERROR(__xludf.DUMMYFUNCTION("""COMPUTED_VALUE"""),"Vanguard S&amp;P 500 UCITS")</f>
        <v>Vanguard S&amp;P 500 UCITS</v>
      </c>
      <c r="Q6" s="162">
        <f>IFERROR(__xludf.DUMMYFUNCTION("""COMPUTED_VALUE"""),4293.0)</f>
        <v>4293</v>
      </c>
      <c r="R6" s="168">
        <f>IFERROR(__xludf.DUMMYFUNCTION("""COMPUTED_VALUE"""),-183260.93000000002)</f>
        <v>-183260.93</v>
      </c>
    </row>
    <row r="7">
      <c r="A7" s="122">
        <v>43640.0</v>
      </c>
      <c r="B7" s="124" t="s">
        <v>317</v>
      </c>
      <c r="C7" s="124" t="s">
        <v>318</v>
      </c>
      <c r="D7" s="124" t="s">
        <v>319</v>
      </c>
      <c r="E7" s="125">
        <v>-16.0</v>
      </c>
      <c r="F7" s="126">
        <v>117.66</v>
      </c>
      <c r="G7" s="128">
        <v>1882.56</v>
      </c>
      <c r="H7" s="130" t="s">
        <v>324</v>
      </c>
      <c r="I7" s="138">
        <f t="shared" ref="I7:J7" si="9">IFS(AND($B7&lt;&gt;"",$E7&lt;&gt;""),IF(INDEX(N:N,MATCH($C7,$P:$P,0),1)&lt;&gt;"",$E7*INDEX(N:N,MATCH($C7,$P:$P,0),1)+$G7,""),AND($B7&lt;&gt;"",$D7="COST",$G7&lt;0),$G7,TRUE,)</f>
        <v>-7.04</v>
      </c>
      <c r="J7" s="138">
        <f t="shared" si="9"/>
        <v>191.31125</v>
      </c>
      <c r="K7" s="160" t="str">
        <f t="shared" si="3"/>
        <v>ETFS Physical Gold</v>
      </c>
      <c r="L7" s="162">
        <f t="shared" si="4"/>
        <v>443</v>
      </c>
      <c r="M7" s="163">
        <f t="shared" si="5"/>
        <v>-44918.1</v>
      </c>
      <c r="N7" s="165">
        <f>IF($P7&lt;&gt;"",IF(MAXIFS(Investment!$M:$M,Investment!$H:$H,LEFT($P7,30)&amp;"*"),MAXIFS(Investment!$M:$M,Investment!$H:$H,LEFT($P7,30)&amp;"*"),),)</f>
        <v>177.5</v>
      </c>
      <c r="O7" s="167">
        <f>IF($P7&lt;&gt;"",IF(MAXIFS(Investment!$AH:$AH,Investment!$H:$H,LEFT($P7,30)&amp;"*"),MAXIFS(Investment!$AH:$AH,Investment!$H:$H,LEFT($P7,30)&amp;"*"),),)</f>
        <v>167.7650391</v>
      </c>
      <c r="P7" s="160" t="str">
        <f>IFERROR(__xludf.DUMMYFUNCTION("""COMPUTED_VALUE"""),"iShares Treasury Bond 7-10 UCITS")</f>
        <v>iShares Treasury Bond 7-10 UCITS</v>
      </c>
      <c r="Q7" s="162">
        <f>IFERROR(__xludf.DUMMYFUNCTION("""COMPUTED_VALUE"""),597.0)</f>
        <v>597</v>
      </c>
      <c r="R7" s="168">
        <f>IFERROR(__xludf.DUMMYFUNCTION("""COMPUTED_VALUE"""),-91106.6)</f>
        <v>-91106.6</v>
      </c>
    </row>
    <row r="8">
      <c r="A8" s="122">
        <v>43640.0</v>
      </c>
      <c r="B8" s="124" t="s">
        <v>328</v>
      </c>
      <c r="C8" s="124" t="s">
        <v>329</v>
      </c>
      <c r="D8" s="124" t="s">
        <v>330</v>
      </c>
      <c r="E8" s="125">
        <v>1013.0</v>
      </c>
      <c r="F8" s="126">
        <v>7.103</v>
      </c>
      <c r="G8" s="128">
        <v>-7195.34</v>
      </c>
      <c r="H8" s="130" t="s">
        <v>331</v>
      </c>
      <c r="I8" s="138">
        <f t="shared" ref="I8:J8" si="10">IFS(AND($B8&lt;&gt;"",$E8&lt;&gt;""),IF(INDEX(N:N,MATCH($C8,$P:$P,0),1)&lt;&gt;"",$E8*INDEX(N:N,MATCH($C8,$P:$P,0),1)+$G8,""),AND($B8&lt;&gt;"",$D8="COST",$G8&lt;0),$G8,TRUE,)</f>
        <v>100.286</v>
      </c>
      <c r="J8" s="138">
        <f t="shared" si="10"/>
        <v>221.208918</v>
      </c>
      <c r="K8" s="160" t="str">
        <f t="shared" si="3"/>
        <v>ETFS All Commodities ETC</v>
      </c>
      <c r="L8" s="162">
        <f t="shared" si="4"/>
        <v>11470</v>
      </c>
      <c r="M8" s="163">
        <f t="shared" si="5"/>
        <v>-83154.49</v>
      </c>
      <c r="N8" s="165">
        <f>IF($P8&lt;&gt;"",IF(MAXIFS(Investment!$M:$M,Investment!$H:$H,LEFT($P8,30)&amp;"*"),MAXIFS(Investment!$M:$M,Investment!$H:$H,LEFT($P8,30)&amp;"*"),),)</f>
        <v>4.346</v>
      </c>
      <c r="O8" s="167">
        <f>IF($P8&lt;&gt;"",IF(MAXIFS(Investment!$AH:$AH,Investment!$H:$H,LEFT($P8,30)&amp;"*"),MAXIFS(Investment!$AH:$AH,Investment!$H:$H,LEFT($P8,30)&amp;"*"),),)</f>
        <v>3.982394336</v>
      </c>
      <c r="P8" s="160" t="str">
        <f>IFERROR(__xludf.DUMMYFUNCTION("""COMPUTED_VALUE"""),"iShares Treasury Bond 20+ UCITS USD Dist")</f>
        <v>iShares Treasury Bond 20+ UCITS USD Dist</v>
      </c>
      <c r="Q8" s="162">
        <f>IFERROR(__xludf.DUMMYFUNCTION("""COMPUTED_VALUE"""),0.0)</f>
        <v>0</v>
      </c>
      <c r="R8" s="168">
        <f>IFERROR(__xludf.DUMMYFUNCTION("""COMPUTED_VALUE"""),27424.229999999996)</f>
        <v>27424.23</v>
      </c>
    </row>
    <row r="9">
      <c r="A9" s="122">
        <v>43627.0</v>
      </c>
      <c r="B9" s="124" t="s">
        <v>328</v>
      </c>
      <c r="C9" s="124" t="s">
        <v>329</v>
      </c>
      <c r="D9" s="124" t="s">
        <v>330</v>
      </c>
      <c r="E9" s="125">
        <v>518.0</v>
      </c>
      <c r="F9" s="126">
        <v>6.962</v>
      </c>
      <c r="G9" s="128">
        <v>-3606.32</v>
      </c>
      <c r="H9" s="130" t="s">
        <v>332</v>
      </c>
      <c r="I9" s="138">
        <f t="shared" ref="I9:J9" si="11">IFS(AND($B9&lt;&gt;"",$E9&lt;&gt;""),IF(INDEX(N:N,MATCH($C9,$P:$P,0),1)&lt;&gt;"",$E9*INDEX(N:N,MATCH($C9,$P:$P,0),1)+$G9,""),AND($B9&lt;&gt;"",$D9="COST",$G9&lt;0),$G9,TRUE,)</f>
        <v>124.316</v>
      </c>
      <c r="J9" s="138">
        <f t="shared" si="11"/>
        <v>186.1502266</v>
      </c>
      <c r="K9" s="160" t="str">
        <f t="shared" si="3"/>
        <v>ETFS All Commodities ETC</v>
      </c>
      <c r="L9" s="162">
        <f t="shared" si="4"/>
        <v>11470</v>
      </c>
      <c r="M9" s="163">
        <f t="shared" si="5"/>
        <v>-83154.49</v>
      </c>
      <c r="N9" s="165" t="str">
        <f>IF($P9&lt;&gt;"",IF(MAXIFS(Investment!$M:$M,Investment!$H:$H,LEFT($P9,30)&amp;"*"),MAXIFS(Investment!$M:$M,Investment!$H:$H,LEFT($P9,30)&amp;"*"),),)</f>
        <v/>
      </c>
      <c r="O9" s="167" t="str">
        <f>IF($P9&lt;&gt;"",IF(MAXIFS(Investment!$AH:$AH,Investment!$H:$H,LEFT($P9,30)&amp;"*"),MAXIFS(Investment!$AH:$AH,Investment!$H:$H,LEFT($P9,30)&amp;"*"),),)</f>
        <v/>
      </c>
      <c r="P9" s="160" t="str">
        <f>IFERROR(__xludf.DUMMYFUNCTION("""COMPUTED_VALUE"""),"Vanguard Extended Duration Treasury ETF")</f>
        <v>Vanguard Extended Duration Treasury ETF</v>
      </c>
      <c r="Q9" s="162">
        <f>IFERROR(__xludf.DUMMYFUNCTION("""COMPUTED_VALUE"""),0.0)</f>
        <v>0</v>
      </c>
      <c r="R9" s="168">
        <f>IFERROR(__xludf.DUMMYFUNCTION("""COMPUTED_VALUE"""),-4941.3600000000115)</f>
        <v>-4941.36</v>
      </c>
    </row>
    <row r="10">
      <c r="A10" s="122">
        <v>43627.0</v>
      </c>
      <c r="B10" s="124" t="s">
        <v>328</v>
      </c>
      <c r="C10" s="124" t="s">
        <v>329</v>
      </c>
      <c r="D10" s="124" t="s">
        <v>330</v>
      </c>
      <c r="E10" s="125">
        <v>1762.0</v>
      </c>
      <c r="F10" s="126">
        <v>6.9619</v>
      </c>
      <c r="G10" s="128">
        <v>-12267.04</v>
      </c>
      <c r="H10" s="130" t="s">
        <v>337</v>
      </c>
      <c r="I10" s="138">
        <f t="shared" ref="I10:J10" si="12">IFS(AND($B10&lt;&gt;"",$E10&lt;&gt;""),IF(INDEX(N:N,MATCH($C10,$P:$P,0),1)&lt;&gt;"",$E10*INDEX(N:N,MATCH($C10,$P:$P,0),1)+$G10,""),AND($B10&lt;&gt;"",$D10="COST",$G10&lt;0),$G10,TRUE,)</f>
        <v>422.884</v>
      </c>
      <c r="J10" s="138">
        <f t="shared" si="12"/>
        <v>633.2158672</v>
      </c>
      <c r="K10" s="160" t="str">
        <f t="shared" si="3"/>
        <v>ETFS All Commodities ETC</v>
      </c>
      <c r="L10" s="162">
        <f t="shared" si="4"/>
        <v>11470</v>
      </c>
      <c r="M10" s="163">
        <f t="shared" si="5"/>
        <v>-83154.49</v>
      </c>
      <c r="N10" s="165" t="str">
        <f>IF($P10&lt;&gt;"",IF(MAXIFS(Investment!$M:$M,Investment!$H:$H,LEFT($P10,30)&amp;"*"),MAXIFS(Investment!$M:$M,Investment!$H:$H,LEFT($P10,30)&amp;"*"),),)</f>
        <v/>
      </c>
      <c r="O10" s="167" t="str">
        <f>IF($P10&lt;&gt;"",IF(MAXIFS(Investment!$AH:$AH,Investment!$H:$H,LEFT($P10,30)&amp;"*"),MAXIFS(Investment!$AH:$AH,Investment!$H:$H,LEFT($P10,30)&amp;"*"),),)</f>
        <v/>
      </c>
      <c r="P10" s="160" t="str">
        <f>IFERROR(__xludf.DUMMYFUNCTION("""COMPUTED_VALUE"""),"Vanguard Intermediate-Term Treasury ETF")</f>
        <v>Vanguard Intermediate-Term Treasury ETF</v>
      </c>
      <c r="Q10" s="162">
        <f>IFERROR(__xludf.DUMMYFUNCTION("""COMPUTED_VALUE"""),0.0)</f>
        <v>0</v>
      </c>
      <c r="R10" s="168">
        <f>IFERROR(__xludf.DUMMYFUNCTION("""COMPUTED_VALUE"""),-1817.4799999999955)</f>
        <v>-1817.48</v>
      </c>
    </row>
    <row r="11">
      <c r="A11" s="122">
        <v>43627.0</v>
      </c>
      <c r="B11" s="124" t="s">
        <v>343</v>
      </c>
      <c r="C11" s="124" t="s">
        <v>344</v>
      </c>
      <c r="D11" s="124" t="s">
        <v>319</v>
      </c>
      <c r="E11" s="125">
        <v>-26.0</v>
      </c>
      <c r="F11" s="126">
        <v>48.6538</v>
      </c>
      <c r="G11" s="128">
        <v>1265.0</v>
      </c>
      <c r="H11" s="130" t="s">
        <v>345</v>
      </c>
      <c r="I11" s="138">
        <f t="shared" ref="I11:J11" si="13">IFS(AND($B11&lt;&gt;"",$E11&lt;&gt;""),IF(INDEX(N:N,MATCH($C11,$P:$P,0),1)&lt;&gt;"",$E11*INDEX(N:N,MATCH($C11,$P:$P,0),1)+$G11,""),AND($B11&lt;&gt;"",$D11="COST",$G11&lt;0),$G11,TRUE,)</f>
        <v>-1.226</v>
      </c>
      <c r="J11" s="138">
        <f t="shared" si="13"/>
        <v>58.3603125</v>
      </c>
      <c r="K11" s="141" t="str">
        <f t="shared" si="3"/>
        <v>Vanguard S&amp;P 500 UCITS</v>
      </c>
      <c r="L11" s="145">
        <f t="shared" si="4"/>
        <v>4293</v>
      </c>
      <c r="M11" s="148">
        <f t="shared" si="5"/>
        <v>-183260.93</v>
      </c>
      <c r="N11" s="155" t="str">
        <f>IF($P11&lt;&gt;"",IF(MAXIFS(Investment!$M:$M,Investment!$H:$H,LEFT($P11,30)&amp;"*"),MAXIFS(Investment!$M:$M,Investment!$H:$H,LEFT($P11,30)&amp;"*"),),)</f>
        <v/>
      </c>
      <c r="O11" s="158" t="str">
        <f>IF($P11&lt;&gt;"",IF(MAXIFS(Investment!$AH:$AH,Investment!$H:$H,LEFT($P11,30)&amp;"*"),MAXIFS(Investment!$AH:$AH,Investment!$H:$H,LEFT($P11,30)&amp;"*"),),)</f>
        <v/>
      </c>
      <c r="P11" s="141" t="str">
        <f>IFERROR(__xludf.DUMMYFUNCTION("""COMPUTED_VALUE"""),"iShares Gold Trust")</f>
        <v>iShares Gold Trust</v>
      </c>
      <c r="Q11" s="145">
        <f>IFERROR(__xludf.DUMMYFUNCTION("""COMPUTED_VALUE"""),0.0)</f>
        <v>0</v>
      </c>
      <c r="R11" s="138">
        <f>IFERROR(__xludf.DUMMYFUNCTION("""COMPUTED_VALUE"""),140.22999999999956)</f>
        <v>140.23</v>
      </c>
    </row>
    <row r="12">
      <c r="A12" s="122">
        <v>43626.0</v>
      </c>
      <c r="B12" s="124" t="s">
        <v>343</v>
      </c>
      <c r="C12" s="124" t="s">
        <v>344</v>
      </c>
      <c r="D12" s="124" t="s">
        <v>319</v>
      </c>
      <c r="E12" s="125">
        <v>-29.0</v>
      </c>
      <c r="F12" s="126">
        <v>48.562</v>
      </c>
      <c r="G12" s="128">
        <v>1408.3</v>
      </c>
      <c r="H12" s="130" t="s">
        <v>346</v>
      </c>
      <c r="I12" s="138">
        <f t="shared" ref="I12:J12" si="14">IFS(AND($B12&lt;&gt;"",$E12&lt;&gt;""),IF(INDEX(N:N,MATCH($C12,$P:$P,0),1)&lt;&gt;"",$E12*INDEX(N:N,MATCH($C12,$P:$P,0),1)+$G12,""),AND($B12&lt;&gt;"",$D12="COST",$G12&lt;0),$G12,TRUE,)</f>
        <v>-4.029</v>
      </c>
      <c r="J12" s="138">
        <f t="shared" si="14"/>
        <v>62.43265625</v>
      </c>
      <c r="K12" s="141" t="str">
        <f t="shared" si="3"/>
        <v>Vanguard S&amp;P 500 UCITS</v>
      </c>
      <c r="L12" s="145">
        <f t="shared" si="4"/>
        <v>4293</v>
      </c>
      <c r="M12" s="148">
        <f t="shared" si="5"/>
        <v>-183260.93</v>
      </c>
      <c r="N12" s="155" t="str">
        <f>IF($P12&lt;&gt;"",IF(MAXIFS(Investment!$M:$M,Investment!$H:$H,LEFT($P12,30)&amp;"*"),MAXIFS(Investment!$M:$M,Investment!$H:$H,LEFT($P12,30)&amp;"*"),),)</f>
        <v/>
      </c>
      <c r="O12" s="158" t="str">
        <f>IF($P12&lt;&gt;"",IF(MAXIFS(Investment!$AH:$AH,Investment!$H:$H,LEFT($P12,30)&amp;"*"),MAXIFS(Investment!$AH:$AH,Investment!$H:$H,LEFT($P12,30)&amp;"*"),),)</f>
        <v/>
      </c>
      <c r="P12" s="141" t="str">
        <f>IFERROR(__xludf.DUMMYFUNCTION("""COMPUTED_VALUE"""),"iShares 7-10 Year Treasury Bond ETF")</f>
        <v>iShares 7-10 Year Treasury Bond ETF</v>
      </c>
      <c r="Q12" s="145">
        <f>IFERROR(__xludf.DUMMYFUNCTION("""COMPUTED_VALUE"""),0.0)</f>
        <v>0</v>
      </c>
      <c r="R12" s="138">
        <f>IFERROR(__xludf.DUMMYFUNCTION("""COMPUTED_VALUE"""),-345.82000000000244)</f>
        <v>-345.82</v>
      </c>
    </row>
    <row r="13">
      <c r="A13" s="122">
        <v>43623.0</v>
      </c>
      <c r="B13" s="124" t="s">
        <v>343</v>
      </c>
      <c r="C13" s="124" t="s">
        <v>344</v>
      </c>
      <c r="D13" s="124" t="s">
        <v>319</v>
      </c>
      <c r="E13" s="125">
        <v>-23.0</v>
      </c>
      <c r="F13" s="126">
        <v>48.3591</v>
      </c>
      <c r="G13" s="128">
        <v>1112.26</v>
      </c>
      <c r="H13" s="130" t="s">
        <v>352</v>
      </c>
      <c r="I13" s="138">
        <f t="shared" ref="I13:J13" si="15">IFS(AND($B13&lt;&gt;"",$E13&lt;&gt;""),IF(INDEX(N:N,MATCH($C13,$P:$P,0),1)&lt;&gt;"",$E13*INDEX(N:N,MATCH($C13,$P:$P,0),1)+$G13,""),AND($B13&lt;&gt;"",$D13="COST",$G13&lt;0),$G13,TRUE,)</f>
        <v>-7.863</v>
      </c>
      <c r="J13" s="138">
        <f t="shared" si="15"/>
        <v>44.84796875</v>
      </c>
      <c r="K13" s="185" t="str">
        <f t="shared" si="3"/>
        <v>Vanguard S&amp;P 500 UCITS</v>
      </c>
      <c r="L13" s="187">
        <f t="shared" si="4"/>
        <v>4293</v>
      </c>
      <c r="M13" s="188">
        <f t="shared" si="5"/>
        <v>-183260.93</v>
      </c>
      <c r="N13" s="190" t="str">
        <f>IF($P13&lt;&gt;"",IF(MAXIFS(Investment!$M:$M,Investment!$H:$H,LEFT($P13,30)&amp;"*"),MAXIFS(Investment!$M:$M,Investment!$H:$H,LEFT($P13,30)&amp;"*"),),)</f>
        <v/>
      </c>
      <c r="O13" s="193" t="str">
        <f>IF($P13&lt;&gt;"",IF(MAXIFS(Investment!$AH:$AH,Investment!$H:$H,LEFT($P13,30)&amp;"*"),MAXIFS(Investment!$AH:$AH,Investment!$H:$H,LEFT($P13,30)&amp;"*"),),)</f>
        <v/>
      </c>
      <c r="P13" s="185" t="str">
        <f>IFERROR(__xludf.DUMMYFUNCTION("""COMPUTED_VALUE"""),"iShares Diversified Commodity Swap UCITS ETF DE")</f>
        <v>iShares Diversified Commodity Swap UCITS ETF DE</v>
      </c>
      <c r="Q13" s="187">
        <f>IFERROR(__xludf.DUMMYFUNCTION("""COMPUTED_VALUE"""),0.0)</f>
        <v>0</v>
      </c>
      <c r="R13" s="194">
        <f>IFERROR(__xludf.DUMMYFUNCTION("""COMPUTED_VALUE"""),-296.4199999999996)</f>
        <v>-296.42</v>
      </c>
    </row>
    <row r="14">
      <c r="A14" s="122">
        <v>43622.0</v>
      </c>
      <c r="B14" s="124" t="s">
        <v>343</v>
      </c>
      <c r="C14" s="124" t="s">
        <v>344</v>
      </c>
      <c r="D14" s="124" t="s">
        <v>319</v>
      </c>
      <c r="E14" s="125">
        <v>-58.0</v>
      </c>
      <c r="F14" s="126">
        <v>48.0199</v>
      </c>
      <c r="G14" s="128">
        <v>2785.16</v>
      </c>
      <c r="H14" s="130" t="s">
        <v>359</v>
      </c>
      <c r="I14" s="138">
        <f t="shared" ref="I14:J14" si="16">IFS(AND($B14&lt;&gt;"",$E14&lt;&gt;""),IF(INDEX(N:N,MATCH($C14,$P:$P,0),1)&lt;&gt;"",$E14*INDEX(N:N,MATCH($C14,$P:$P,0),1)+$G14,""),AND($B14&lt;&gt;"",$D14="COST",$G14&lt;0),$G14,TRUE,)</f>
        <v>-39.498</v>
      </c>
      <c r="J14" s="138">
        <f t="shared" si="16"/>
        <v>93.4253125</v>
      </c>
      <c r="K14" s="185" t="str">
        <f t="shared" si="3"/>
        <v>Vanguard S&amp;P 500 UCITS</v>
      </c>
      <c r="L14" s="187">
        <f t="shared" si="4"/>
        <v>4293</v>
      </c>
      <c r="M14" s="188">
        <f t="shared" si="5"/>
        <v>-183260.93</v>
      </c>
      <c r="N14" s="190" t="str">
        <f>IF($P14&lt;&gt;"",IF(MAXIFS(Investment!$M:$M,Investment!$H:$H,LEFT($P14,30)&amp;"*"),MAXIFS(Investment!$M:$M,Investment!$H:$H,LEFT($P14,30)&amp;"*"),),)</f>
        <v/>
      </c>
      <c r="O14" s="193" t="str">
        <f>IF($P14&lt;&gt;"",IF(MAXIFS(Investment!$AH:$AH,Investment!$H:$H,LEFT($P14,30)&amp;"*"),MAXIFS(Investment!$AH:$AH,Investment!$H:$H,LEFT($P14,30)&amp;"*"),),)</f>
        <v/>
      </c>
      <c r="P14" s="185" t="str">
        <f>IFERROR(__xludf.DUMMYFUNCTION("""COMPUTED_VALUE"""),"Vanguard Total Stock Market ETF")</f>
        <v>Vanguard Total Stock Market ETF</v>
      </c>
      <c r="Q14" s="187">
        <f>IFERROR(__xludf.DUMMYFUNCTION("""COMPUTED_VALUE"""),0.0)</f>
        <v>0</v>
      </c>
      <c r="R14" s="194">
        <f>IFERROR(__xludf.DUMMYFUNCTION("""COMPUTED_VALUE"""),1880.340000000002)</f>
        <v>1880.34</v>
      </c>
    </row>
    <row r="15">
      <c r="A15" s="122">
        <v>43620.0</v>
      </c>
      <c r="B15" s="124"/>
      <c r="C15" s="124"/>
      <c r="D15" s="124" t="s">
        <v>312</v>
      </c>
      <c r="E15" s="125"/>
      <c r="F15" s="126"/>
      <c r="G15" s="128">
        <v>-100.0</v>
      </c>
      <c r="H15" s="130" t="s">
        <v>362</v>
      </c>
      <c r="I15" s="138" t="str">
        <f t="shared" ref="I15:J15" si="17">IFS(AND($B15&lt;&gt;"",$E15&lt;&gt;""),IF(INDEX(N:N,MATCH($C15,$P:$P,0),1)&lt;&gt;"",$E15*INDEX(N:N,MATCH($C15,$P:$P,0),1)+$G15,""),AND($B15&lt;&gt;"",$D15="COST",$G15&lt;0),$G15,TRUE,)</f>
        <v/>
      </c>
      <c r="J15" s="138" t="str">
        <f t="shared" si="17"/>
        <v/>
      </c>
      <c r="K15" s="185" t="str">
        <f t="shared" si="3"/>
        <v/>
      </c>
      <c r="L15" s="187" t="str">
        <f t="shared" si="4"/>
        <v/>
      </c>
      <c r="M15" s="188" t="str">
        <f t="shared" si="5"/>
        <v/>
      </c>
      <c r="N15" s="190" t="str">
        <f>IF($P15&lt;&gt;"",IF(MAXIFS(Investment!$M:$M,Investment!$H:$H,LEFT($P15,30)&amp;"*"),MAXIFS(Investment!$M:$M,Investment!$H:$H,LEFT($P15,30)&amp;"*"),),)</f>
        <v/>
      </c>
      <c r="O15" s="193" t="str">
        <f>IF($P15&lt;&gt;"",IF(MAXIFS(Investment!$AH:$AH,Investment!$H:$H,LEFT($P15,30)&amp;"*"),MAXIFS(Investment!$AH:$AH,Investment!$H:$H,LEFT($P15,30)&amp;"*"),),)</f>
        <v/>
      </c>
      <c r="P15" s="185" t="str">
        <f>IFERROR(__xludf.DUMMYFUNCTION("""COMPUTED_VALUE"""),"TOTAL GABON")</f>
        <v>TOTAL GABON</v>
      </c>
      <c r="Q15" s="187">
        <f>IFERROR(__xludf.DUMMYFUNCTION("""COMPUTED_VALUE"""),0.0)</f>
        <v>0</v>
      </c>
      <c r="R15" s="194">
        <f>IFERROR(__xludf.DUMMYFUNCTION("""COMPUTED_VALUE"""),-24138.28)</f>
        <v>-24138.28</v>
      </c>
    </row>
    <row r="16">
      <c r="A16" s="122">
        <v>43620.0</v>
      </c>
      <c r="B16" s="124" t="s">
        <v>364</v>
      </c>
      <c r="C16" s="124" t="s">
        <v>366</v>
      </c>
      <c r="D16" s="124" t="s">
        <v>272</v>
      </c>
      <c r="E16" s="125"/>
      <c r="F16" s="126"/>
      <c r="G16" s="128">
        <v>-173.19</v>
      </c>
      <c r="H16" s="130" t="s">
        <v>368</v>
      </c>
      <c r="I16" s="138" t="str">
        <f t="shared" ref="I16:J16" si="18">IFS(AND($B16&lt;&gt;"",$E16&lt;&gt;""),IF(INDEX(N:N,MATCH($C16,$P:$P,0),1)&lt;&gt;"",$E16*INDEX(N:N,MATCH($C16,$P:$P,0),1)+$G16,""),AND($B16&lt;&gt;"",$D16="COST",$G16&lt;0),$G16,TRUE,)</f>
        <v/>
      </c>
      <c r="J16" s="138" t="str">
        <f t="shared" si="18"/>
        <v/>
      </c>
      <c r="K16" s="141" t="str">
        <f t="shared" si="3"/>
        <v>iShares Treasury Bond 7-10 UCITS</v>
      </c>
      <c r="L16" s="145">
        <f t="shared" si="4"/>
        <v>597</v>
      </c>
      <c r="M16" s="148">
        <f t="shared" si="5"/>
        <v>-91106.6</v>
      </c>
      <c r="N16" s="155" t="str">
        <f>IF($P16&lt;&gt;"",IF(MAXIFS(Investment!$M:$M,Investment!$H:$H,LEFT($P16,30)&amp;"*"),MAXIFS(Investment!$M:$M,Investment!$H:$H,LEFT($P16,30)&amp;"*"),),)</f>
        <v/>
      </c>
      <c r="O16" s="158" t="str">
        <f>IF($P16&lt;&gt;"",IF(MAXIFS(Investment!$AH:$AH,Investment!$H:$H,LEFT($P16,30)&amp;"*"),MAXIFS(Investment!$AH:$AH,Investment!$H:$H,LEFT($P16,30)&amp;"*"),),)</f>
        <v/>
      </c>
      <c r="P16" s="141" t="str">
        <f>IFERROR(__xludf.DUMMYFUNCTION("""COMPUTED_VALUE"""),"EDF")</f>
        <v>EDF</v>
      </c>
      <c r="Q16" s="145">
        <f>IFERROR(__xludf.DUMMYFUNCTION("""COMPUTED_VALUE"""),0.0)</f>
        <v>0</v>
      </c>
      <c r="R16" s="138">
        <f>IFERROR(__xludf.DUMMYFUNCTION("""COMPUTED_VALUE"""),1451.9600000000005)</f>
        <v>1451.96</v>
      </c>
    </row>
    <row r="17">
      <c r="A17" s="122">
        <v>43620.0</v>
      </c>
      <c r="B17" s="124" t="s">
        <v>317</v>
      </c>
      <c r="C17" s="124" t="s">
        <v>318</v>
      </c>
      <c r="D17" s="124" t="s">
        <v>319</v>
      </c>
      <c r="E17" s="125">
        <v>-9.0</v>
      </c>
      <c r="F17" s="126">
        <v>112.4</v>
      </c>
      <c r="G17" s="128">
        <v>1011.6</v>
      </c>
      <c r="H17" s="130" t="s">
        <v>369</v>
      </c>
      <c r="I17" s="138">
        <f t="shared" ref="I17:J17" si="19">IFS(AND($B17&lt;&gt;"",$E17&lt;&gt;""),IF(INDEX(N:N,MATCH($C17,$P:$P,0),1)&lt;&gt;"",$E17*INDEX(N:N,MATCH($C17,$P:$P,0),1)+$G17,""),AND($B17&lt;&gt;"",$D17="COST",$G17&lt;0),$G17,TRUE,)</f>
        <v>-51.3</v>
      </c>
      <c r="J17" s="138">
        <f t="shared" si="19"/>
        <v>60.27257812</v>
      </c>
      <c r="K17" s="185" t="str">
        <f t="shared" si="3"/>
        <v>ETFS Physical Gold</v>
      </c>
      <c r="L17" s="187">
        <f t="shared" si="4"/>
        <v>443</v>
      </c>
      <c r="M17" s="188">
        <f t="shared" si="5"/>
        <v>-44918.1</v>
      </c>
      <c r="N17" s="190" t="str">
        <f>IF($P17&lt;&gt;"",IF(MAXIFS(Investment!$M:$M,Investment!$H:$H,LEFT($P17,30)&amp;"*"),MAXIFS(Investment!$M:$M,Investment!$H:$H,LEFT($P17,30)&amp;"*"),),)</f>
        <v/>
      </c>
      <c r="O17" s="193" t="str">
        <f>IF($P17&lt;&gt;"",IF(MAXIFS(Investment!$AH:$AH,Investment!$H:$H,LEFT($P17,30)&amp;"*"),MAXIFS(Investment!$AH:$AH,Investment!$H:$H,LEFT($P17,30)&amp;"*"),),)</f>
        <v/>
      </c>
      <c r="P17" s="185" t="str">
        <f>IFERROR(__xludf.DUMMYFUNCTION("""COMPUTED_VALUE"""),"BOUYGUES")</f>
        <v>BOUYGUES</v>
      </c>
      <c r="Q17" s="187">
        <f>IFERROR(__xludf.DUMMYFUNCTION("""COMPUTED_VALUE"""),0.0)</f>
        <v>0</v>
      </c>
      <c r="R17" s="194">
        <f>IFERROR(__xludf.DUMMYFUNCTION("""COMPUTED_VALUE"""),1091.52)</f>
        <v>1091.52</v>
      </c>
    </row>
    <row r="18">
      <c r="A18" s="122">
        <v>43619.0</v>
      </c>
      <c r="B18" s="124" t="s">
        <v>364</v>
      </c>
      <c r="C18" s="124" t="s">
        <v>366</v>
      </c>
      <c r="D18" s="124" t="s">
        <v>272</v>
      </c>
      <c r="E18" s="125"/>
      <c r="F18" s="126"/>
      <c r="G18" s="128">
        <v>1556.2</v>
      </c>
      <c r="H18" s="130" t="s">
        <v>374</v>
      </c>
      <c r="I18" s="138" t="str">
        <f t="shared" ref="I18:J18" si="20">IFS(AND($B18&lt;&gt;"",$E18&lt;&gt;""),IF(INDEX(N:N,MATCH($C18,$P:$P,0),1)&lt;&gt;"",$E18*INDEX(N:N,MATCH($C18,$P:$P,0),1)+$G18,""),AND($B18&lt;&gt;"",$D18="COST",$G18&lt;0),$G18,TRUE,)</f>
        <v/>
      </c>
      <c r="J18" s="138" t="str">
        <f t="shared" si="20"/>
        <v/>
      </c>
      <c r="K18" s="185" t="str">
        <f t="shared" si="3"/>
        <v>iShares Treasury Bond 7-10 UCITS</v>
      </c>
      <c r="L18" s="187">
        <f t="shared" si="4"/>
        <v>597</v>
      </c>
      <c r="M18" s="188">
        <f t="shared" si="5"/>
        <v>-91106.6</v>
      </c>
      <c r="N18" s="190" t="str">
        <f>IF($P18&lt;&gt;"",IF(MAXIFS(Investment!$M:$M,Investment!$H:$H,LEFT($P18,30)&amp;"*"),MAXIFS(Investment!$M:$M,Investment!$H:$H,LEFT($P18,30)&amp;"*"),),)</f>
        <v/>
      </c>
      <c r="O18" s="193" t="str">
        <f>IF($P18&lt;&gt;"",IF(MAXIFS(Investment!$AH:$AH,Investment!$H:$H,LEFT($P18,30)&amp;"*"),MAXIFS(Investment!$AH:$AH,Investment!$H:$H,LEFT($P18,30)&amp;"*"),),)</f>
        <v/>
      </c>
      <c r="P18" s="185" t="str">
        <f>IFERROR(__xludf.DUMMYFUNCTION("""COMPUTED_VALUE"""),"TECHNIP")</f>
        <v>TECHNIP</v>
      </c>
      <c r="Q18" s="187">
        <f>IFERROR(__xludf.DUMMYFUNCTION("""COMPUTED_VALUE"""),0.0)</f>
        <v>0</v>
      </c>
      <c r="R18" s="194">
        <f>IFERROR(__xludf.DUMMYFUNCTION("""COMPUTED_VALUE"""),-690.0699999999999)</f>
        <v>-690.07</v>
      </c>
    </row>
    <row r="19">
      <c r="A19" s="122">
        <v>43619.0</v>
      </c>
      <c r="B19" s="124" t="s">
        <v>268</v>
      </c>
      <c r="C19" s="124" t="s">
        <v>270</v>
      </c>
      <c r="D19" s="124" t="s">
        <v>319</v>
      </c>
      <c r="E19" s="125">
        <v>-512.0</v>
      </c>
      <c r="F19" s="126">
        <v>4.4825</v>
      </c>
      <c r="G19" s="128">
        <v>2295.04</v>
      </c>
      <c r="H19" s="130" t="s">
        <v>375</v>
      </c>
      <c r="I19" s="138">
        <f t="shared" ref="I19:J19" si="21">IFS(AND($B19&lt;&gt;"",$E19&lt;&gt;""),IF(INDEX(N:N,MATCH($C19,$P:$P,0),1)&lt;&gt;"",$E19*INDEX(N:N,MATCH($C19,$P:$P,0),1)+$G19,""),AND($B19&lt;&gt;"",$D19="COST",$G19&lt;0),$G19,TRUE,)</f>
        <v>69.888</v>
      </c>
      <c r="J19" s="138">
        <f t="shared" si="21"/>
        <v>256.0541</v>
      </c>
      <c r="K19" s="185" t="str">
        <f t="shared" si="3"/>
        <v>iShares Treasury Bond 20+ UCITS</v>
      </c>
      <c r="L19" s="187">
        <f t="shared" si="4"/>
        <v>62993</v>
      </c>
      <c r="M19" s="188">
        <f t="shared" si="5"/>
        <v>-252853.59</v>
      </c>
      <c r="N19" s="190" t="str">
        <f>IF($P19&lt;&gt;"",IF(MAXIFS(Investment!$M:$M,Investment!$H:$H,LEFT($P19,30)&amp;"*"),MAXIFS(Investment!$M:$M,Investment!$H:$H,LEFT($P19,30)&amp;"*"),),)</f>
        <v/>
      </c>
      <c r="O19" s="193" t="str">
        <f>IF($P19&lt;&gt;"",IF(MAXIFS(Investment!$AH:$AH,Investment!$H:$H,LEFT($P19,30)&amp;"*"),MAXIFS(Investment!$AH:$AH,Investment!$H:$H,LEFT($P19,30)&amp;"*"),),)</f>
        <v/>
      </c>
      <c r="P19" s="185" t="str">
        <f>IFERROR(__xludf.DUMMYFUNCTION("""COMPUTED_VALUE"""),"STMICROELECTRONICS")</f>
        <v>STMICROELECTRONICS</v>
      </c>
      <c r="Q19" s="187">
        <f>IFERROR(__xludf.DUMMYFUNCTION("""COMPUTED_VALUE"""),0.0)</f>
        <v>0</v>
      </c>
      <c r="R19" s="194">
        <f>IFERROR(__xludf.DUMMYFUNCTION("""COMPUTED_VALUE"""),1209.7000000000044)</f>
        <v>1209.7</v>
      </c>
    </row>
    <row r="20">
      <c r="A20" s="122">
        <v>43619.0</v>
      </c>
      <c r="B20" s="124" t="s">
        <v>268</v>
      </c>
      <c r="C20" s="124" t="s">
        <v>270</v>
      </c>
      <c r="D20" s="124" t="s">
        <v>378</v>
      </c>
      <c r="E20" s="125"/>
      <c r="F20" s="126"/>
      <c r="G20" s="128">
        <v>-2.46</v>
      </c>
      <c r="H20" s="130" t="s">
        <v>379</v>
      </c>
      <c r="I20" s="138">
        <f t="shared" ref="I20:J20" si="22">IFS(AND($B20&lt;&gt;"",$E20&lt;&gt;""),IF(INDEX(N:N,MATCH($C20,$P:$P,0),1)&lt;&gt;"",$E20*INDEX(N:N,MATCH($C20,$P:$P,0),1)+$G20,""),AND($B20&lt;&gt;"",$D20="COST",$G20&lt;0),$G20,TRUE,)</f>
        <v>-2.46</v>
      </c>
      <c r="J20" s="138">
        <f t="shared" si="22"/>
        <v>-2.46</v>
      </c>
      <c r="K20" s="185" t="str">
        <f t="shared" si="3"/>
        <v>iShares Treasury Bond 20+ UCITS</v>
      </c>
      <c r="L20" s="187">
        <f t="shared" si="4"/>
        <v>62993</v>
      </c>
      <c r="M20" s="188">
        <f t="shared" si="5"/>
        <v>-252853.59</v>
      </c>
      <c r="N20" s="190" t="str">
        <f>IF($P20&lt;&gt;"",IF(MAXIFS(Investment!$M:$M,Investment!$H:$H,LEFT($P20,30)&amp;"*"),MAXIFS(Investment!$M:$M,Investment!$H:$H,LEFT($P20,30)&amp;"*"),),)</f>
        <v/>
      </c>
      <c r="O20" s="193" t="str">
        <f>IF($P20&lt;&gt;"",IF(MAXIFS(Investment!$AH:$AH,Investment!$H:$H,LEFT($P20,30)&amp;"*"),MAXIFS(Investment!$AH:$AH,Investment!$H:$H,LEFT($P20,30)&amp;"*"),),)</f>
        <v/>
      </c>
      <c r="P20" s="185" t="str">
        <f>IFERROR(__xludf.DUMMYFUNCTION("""COMPUTED_VALUE"""),"ALSTOM REGROUPT")</f>
        <v>ALSTOM REGROUPT</v>
      </c>
      <c r="Q20" s="187">
        <f>IFERROR(__xludf.DUMMYFUNCTION("""COMPUTED_VALUE"""),0.0)</f>
        <v>0</v>
      </c>
      <c r="R20" s="194">
        <f>IFERROR(__xludf.DUMMYFUNCTION("""COMPUTED_VALUE"""),3485.4)</f>
        <v>3485.4</v>
      </c>
    </row>
    <row r="21">
      <c r="A21" s="122">
        <v>43619.0</v>
      </c>
      <c r="B21" s="124" t="s">
        <v>364</v>
      </c>
      <c r="C21" s="124" t="s">
        <v>366</v>
      </c>
      <c r="D21" s="124" t="s">
        <v>319</v>
      </c>
      <c r="E21" s="125">
        <v>-7.0</v>
      </c>
      <c r="F21" s="126">
        <v>179.42</v>
      </c>
      <c r="G21" s="128">
        <v>1255.94</v>
      </c>
      <c r="H21" s="130" t="s">
        <v>385</v>
      </c>
      <c r="I21" s="138">
        <f t="shared" ref="I21:J21" si="23">IFS(AND($B21&lt;&gt;"",$E21&lt;&gt;""),IF(INDEX(N:N,MATCH($C21,$P:$P,0),1)&lt;&gt;"",$E21*INDEX(N:N,MATCH($C21,$P:$P,0),1)+$G21,""),AND($B21&lt;&gt;"",$D21="COST",$G21&lt;0),$G21,TRUE,)</f>
        <v>13.44</v>
      </c>
      <c r="J21" s="138">
        <f t="shared" si="23"/>
        <v>81.58472656</v>
      </c>
      <c r="K21" s="141" t="str">
        <f t="shared" si="3"/>
        <v>iShares Treasury Bond 7-10 UCITS</v>
      </c>
      <c r="L21" s="145">
        <f t="shared" si="4"/>
        <v>597</v>
      </c>
      <c r="M21" s="148">
        <f t="shared" si="5"/>
        <v>-91106.6</v>
      </c>
      <c r="N21" s="155" t="str">
        <f>IF($P21&lt;&gt;"",IF(MAXIFS(Investment!$M:$M,Investment!$H:$H,LEFT($P21,30)&amp;"*"),MAXIFS(Investment!$M:$M,Investment!$H:$H,LEFT($P21,30)&amp;"*"),),)</f>
        <v/>
      </c>
      <c r="O21" s="158" t="str">
        <f>IF($P21&lt;&gt;"",IF(MAXIFS(Investment!$AH:$AH,Investment!$H:$H,LEFT($P21,30)&amp;"*"),MAXIFS(Investment!$AH:$AH,Investment!$H:$H,LEFT($P21,30)&amp;"*"),),)</f>
        <v/>
      </c>
      <c r="P21" s="141" t="str">
        <f>IFERROR(__xludf.DUMMYFUNCTION("""COMPUTED_VALUE"""),"ANF IMMOBILIER")</f>
        <v>ANF IMMOBILIER</v>
      </c>
      <c r="Q21" s="145">
        <f>IFERROR(__xludf.DUMMYFUNCTION("""COMPUTED_VALUE"""),0.0)</f>
        <v>0</v>
      </c>
      <c r="R21" s="138">
        <f>IFERROR(__xludf.DUMMYFUNCTION("""COMPUTED_VALUE"""),-5.5)</f>
        <v>-5.5</v>
      </c>
    </row>
    <row r="22">
      <c r="A22" s="122">
        <v>43619.0</v>
      </c>
      <c r="B22" s="124" t="s">
        <v>317</v>
      </c>
      <c r="C22" s="124" t="s">
        <v>318</v>
      </c>
      <c r="D22" s="124" t="s">
        <v>319</v>
      </c>
      <c r="E22" s="125">
        <v>-10.0</v>
      </c>
      <c r="F22" s="126">
        <v>112.29</v>
      </c>
      <c r="G22" s="128">
        <v>1122.9</v>
      </c>
      <c r="H22" s="130" t="s">
        <v>386</v>
      </c>
      <c r="I22" s="138">
        <f t="shared" ref="I22:J22" si="24">IFS(AND($B22&lt;&gt;"",$E22&lt;&gt;""),IF(INDEX(N:N,MATCH($C22,$P:$P,0),1)&lt;&gt;"",$E22*INDEX(N:N,MATCH($C22,$P:$P,0),1)+$G22,""),AND($B22&lt;&gt;"",$D22="COST",$G22&lt;0),$G22,TRUE,)</f>
        <v>-58.1</v>
      </c>
      <c r="J22" s="138">
        <f t="shared" si="24"/>
        <v>65.86953125</v>
      </c>
      <c r="K22" s="141" t="str">
        <f t="shared" si="3"/>
        <v>ETFS Physical Gold</v>
      </c>
      <c r="L22" s="145">
        <f t="shared" si="4"/>
        <v>443</v>
      </c>
      <c r="M22" s="148">
        <f t="shared" si="5"/>
        <v>-44918.1</v>
      </c>
      <c r="N22" s="155" t="str">
        <f>IF($P22&lt;&gt;"",IF(MAXIFS(Investment!$M:$M,Investment!$H:$H,LEFT($P22,30)&amp;"*"),MAXIFS(Investment!$M:$M,Investment!$H:$H,LEFT($P22,30)&amp;"*"),),)</f>
        <v/>
      </c>
      <c r="O22" s="158" t="str">
        <f>IF($P22&lt;&gt;"",IF(MAXIFS(Investment!$AH:$AH,Investment!$H:$H,LEFT($P22,30)&amp;"*"),MAXIFS(Investment!$AH:$AH,Investment!$H:$H,LEFT($P22,30)&amp;"*"),),)</f>
        <v/>
      </c>
      <c r="P22" s="141" t="str">
        <f>IFERROR(__xludf.DUMMYFUNCTION("""COMPUTED_VALUE"""),"SANOFI")</f>
        <v>SANOFI</v>
      </c>
      <c r="Q22" s="145">
        <f>IFERROR(__xludf.DUMMYFUNCTION("""COMPUTED_VALUE"""),0.0)</f>
        <v>0</v>
      </c>
      <c r="R22" s="138">
        <f>IFERROR(__xludf.DUMMYFUNCTION("""COMPUTED_VALUE"""),-32.189999999999955)</f>
        <v>-32.19</v>
      </c>
    </row>
    <row r="23">
      <c r="A23" s="122">
        <v>43619.0</v>
      </c>
      <c r="B23" s="124" t="s">
        <v>268</v>
      </c>
      <c r="C23" s="124" t="s">
        <v>270</v>
      </c>
      <c r="D23" s="124" t="s">
        <v>319</v>
      </c>
      <c r="E23" s="125">
        <v>-871.0</v>
      </c>
      <c r="F23" s="126">
        <v>4.4625</v>
      </c>
      <c r="G23" s="128">
        <v>3886.84</v>
      </c>
      <c r="H23" s="130" t="s">
        <v>391</v>
      </c>
      <c r="I23" s="138">
        <f t="shared" ref="I23:J23" si="25">IFS(AND($B23&lt;&gt;"",$E23&lt;&gt;""),IF(INDEX(N:N,MATCH($C23,$P:$P,0),1)&lt;&gt;"",$E23*INDEX(N:N,MATCH($C23,$P:$P,0),1)+$G23,""),AND($B23&lt;&gt;"",$D23="COST",$G23&lt;0),$G23,TRUE,)</f>
        <v>101.474</v>
      </c>
      <c r="J23" s="138">
        <f t="shared" si="25"/>
        <v>418.1745334</v>
      </c>
      <c r="K23" s="141" t="str">
        <f t="shared" si="3"/>
        <v>iShares Treasury Bond 20+ UCITS</v>
      </c>
      <c r="L23" s="145">
        <f t="shared" si="4"/>
        <v>62993</v>
      </c>
      <c r="M23" s="148">
        <f t="shared" si="5"/>
        <v>-252853.59</v>
      </c>
      <c r="N23" s="155" t="str">
        <f>IF($P23&lt;&gt;"",IF(MAXIFS(Investment!$M:$M,Investment!$H:$H,LEFT($P23,30)&amp;"*"),MAXIFS(Investment!$M:$M,Investment!$H:$H,LEFT($P23,30)&amp;"*"),),)</f>
        <v/>
      </c>
      <c r="O23" s="158" t="str">
        <f>IF($P23&lt;&gt;"",IF(MAXIFS(Investment!$AH:$AH,Investment!$H:$H,LEFT($P23,30)&amp;"*"),MAXIFS(Investment!$AH:$AH,Investment!$H:$H,LEFT($P23,30)&amp;"*"),),)</f>
        <v/>
      </c>
      <c r="P23" s="141" t="str">
        <f>IFERROR(__xludf.DUMMYFUNCTION("""COMPUTED_VALUE"""),"UNIBAIL RODAMCO SE")</f>
        <v>UNIBAIL RODAMCO SE</v>
      </c>
      <c r="Q23" s="145">
        <f>IFERROR(__xludf.DUMMYFUNCTION("""COMPUTED_VALUE"""),0.0)</f>
        <v>0</v>
      </c>
      <c r="R23" s="138">
        <f>IFERROR(__xludf.DUMMYFUNCTION("""COMPUTED_VALUE"""),107.69999999999986)</f>
        <v>107.7</v>
      </c>
    </row>
    <row r="24">
      <c r="A24" s="122">
        <v>43619.0</v>
      </c>
      <c r="B24" s="124" t="s">
        <v>268</v>
      </c>
      <c r="C24" s="124" t="s">
        <v>270</v>
      </c>
      <c r="D24" s="124" t="s">
        <v>378</v>
      </c>
      <c r="E24" s="125"/>
      <c r="F24" s="126"/>
      <c r="G24" s="128">
        <v>-2.78</v>
      </c>
      <c r="H24" s="130" t="s">
        <v>394</v>
      </c>
      <c r="I24" s="138">
        <f t="shared" ref="I24:J24" si="26">IFS(AND($B24&lt;&gt;"",$E24&lt;&gt;""),IF(INDEX(N:N,MATCH($C24,$P:$P,0),1)&lt;&gt;"",$E24*INDEX(N:N,MATCH($C24,$P:$P,0),1)+$G24,""),AND($B24&lt;&gt;"",$D24="COST",$G24&lt;0),$G24,TRUE,)</f>
        <v>-2.78</v>
      </c>
      <c r="J24" s="138">
        <f t="shared" si="26"/>
        <v>-2.78</v>
      </c>
      <c r="K24" s="141" t="str">
        <f t="shared" si="3"/>
        <v>iShares Treasury Bond 20+ UCITS</v>
      </c>
      <c r="L24" s="145">
        <f t="shared" si="4"/>
        <v>62993</v>
      </c>
      <c r="M24" s="148">
        <f t="shared" si="5"/>
        <v>-252853.59</v>
      </c>
      <c r="N24" s="155" t="str">
        <f>IF($P24&lt;&gt;"",IF(MAXIFS(Investment!$M:$M,Investment!$H:$H,LEFT($P24,30)&amp;"*"),MAXIFS(Investment!$M:$M,Investment!$H:$H,LEFT($P24,30)&amp;"*"),),)</f>
        <v/>
      </c>
      <c r="O24" s="158" t="str">
        <f>IF($P24&lt;&gt;"",IF(MAXIFS(Investment!$AH:$AH,Investment!$H:$H,LEFT($P24,30)&amp;"*"),MAXIFS(Investment!$AH:$AH,Investment!$H:$H,LEFT($P24,30)&amp;"*"),),)</f>
        <v/>
      </c>
      <c r="P24" s="141" t="str">
        <f>IFERROR(__xludf.DUMMYFUNCTION("""COMPUTED_VALUE"""),"ORANGE")</f>
        <v>ORANGE</v>
      </c>
      <c r="Q24" s="145">
        <f>IFERROR(__xludf.DUMMYFUNCTION("""COMPUTED_VALUE"""),0.0)</f>
        <v>0</v>
      </c>
      <c r="R24" s="138">
        <f>IFERROR(__xludf.DUMMYFUNCTION("""COMPUTED_VALUE"""),-68.11999999999989)</f>
        <v>-68.12</v>
      </c>
    </row>
    <row r="25">
      <c r="A25" s="122">
        <v>43617.124123217596</v>
      </c>
      <c r="B25" s="124"/>
      <c r="C25" s="124"/>
      <c r="D25" s="124" t="s">
        <v>378</v>
      </c>
      <c r="E25" s="125"/>
      <c r="F25" s="126"/>
      <c r="G25" s="128">
        <v>-569.48</v>
      </c>
      <c r="H25" s="130" t="s">
        <v>396</v>
      </c>
      <c r="I25" s="138" t="str">
        <f t="shared" ref="I25:J25" si="27">IFS(AND($B25&lt;&gt;"",$E25&lt;&gt;""),IF(INDEX(N:N,MATCH($C25,$P:$P,0),1)&lt;&gt;"",$E25*INDEX(N:N,MATCH($C25,$P:$P,0),1)+$G25,""),AND($B25&lt;&gt;"",$D25="COST",$G25&lt;0),$G25,TRUE,)</f>
        <v/>
      </c>
      <c r="J25" s="138" t="str">
        <f t="shared" si="27"/>
        <v/>
      </c>
      <c r="K25" s="141" t="str">
        <f t="shared" si="3"/>
        <v/>
      </c>
      <c r="L25" s="145" t="str">
        <f t="shared" si="4"/>
        <v/>
      </c>
      <c r="M25" s="148" t="str">
        <f t="shared" si="5"/>
        <v/>
      </c>
      <c r="N25" s="155" t="str">
        <f>IF($P25&lt;&gt;"",IF(MAXIFS(Investment!$M:$M,Investment!$H:$H,LEFT($P25,30)&amp;"*"),MAXIFS(Investment!$M:$M,Investment!$H:$H,LEFT($P25,30)&amp;"*"),),)</f>
        <v/>
      </c>
      <c r="O25" s="158" t="str">
        <f>IF($P25&lt;&gt;"",IF(MAXIFS(Investment!$AH:$AH,Investment!$H:$H,LEFT($P25,30)&amp;"*"),MAXIFS(Investment!$AH:$AH,Investment!$H:$H,LEFT($P25,30)&amp;"*"),),)</f>
        <v/>
      </c>
      <c r="P25" s="141" t="str">
        <f>IFERROR(__xludf.DUMMYFUNCTION("""COMPUTED_VALUE"""),"GDF SUEZ")</f>
        <v>GDF SUEZ</v>
      </c>
      <c r="Q25" s="145">
        <f>IFERROR(__xludf.DUMMYFUNCTION("""COMPUTED_VALUE"""),0.0)</f>
        <v>0</v>
      </c>
      <c r="R25" s="138">
        <f>IFERROR(__xludf.DUMMYFUNCTION("""COMPUTED_VALUE"""),123.37000000000012)</f>
        <v>123.37</v>
      </c>
    </row>
    <row r="26">
      <c r="A26" s="122">
        <v>43616.0</v>
      </c>
      <c r="B26" s="124" t="s">
        <v>268</v>
      </c>
      <c r="C26" s="124" t="s">
        <v>270</v>
      </c>
      <c r="D26" s="124" t="s">
        <v>319</v>
      </c>
      <c r="E26" s="125">
        <v>-298.0</v>
      </c>
      <c r="F26" s="126">
        <v>4.4304</v>
      </c>
      <c r="G26" s="128">
        <v>1320.26</v>
      </c>
      <c r="H26" s="130" t="s">
        <v>401</v>
      </c>
      <c r="I26" s="138">
        <f t="shared" ref="I26:J26" si="28">IFS(AND($B26&lt;&gt;"",$E26&lt;&gt;""),IF(INDEX(N:N,MATCH($C26,$P:$P,0),1)&lt;&gt;"",$E26*INDEX(N:N,MATCH($C26,$P:$P,0),1)+$G26,""),AND($B26&lt;&gt;"",$D26="COST",$G26&lt;0),$G26,TRUE,)</f>
        <v>25.152</v>
      </c>
      <c r="J26" s="138">
        <f t="shared" si="28"/>
        <v>133.5064879</v>
      </c>
      <c r="K26" s="141" t="str">
        <f t="shared" si="3"/>
        <v>iShares Treasury Bond 20+ UCITS</v>
      </c>
      <c r="L26" s="145">
        <f t="shared" si="4"/>
        <v>62993</v>
      </c>
      <c r="M26" s="148">
        <f t="shared" si="5"/>
        <v>-252853.59</v>
      </c>
      <c r="N26" s="155" t="str">
        <f>IF($P26&lt;&gt;"",IF(MAXIFS(Investment!$M:$M,Investment!$H:$H,LEFT($P26,30)&amp;"*"),MAXIFS(Investment!$M:$M,Investment!$H:$H,LEFT($P26,30)&amp;"*"),),)</f>
        <v/>
      </c>
      <c r="O26" s="158" t="str">
        <f>IF($P26&lt;&gt;"",IF(MAXIFS(Investment!$AH:$AH,Investment!$H:$H,LEFT($P26,30)&amp;"*"),MAXIFS(Investment!$AH:$AH,Investment!$H:$H,LEFT($P26,30)&amp;"*"),),)</f>
        <v/>
      </c>
      <c r="P26" s="141" t="str">
        <f>IFERROR(__xludf.DUMMYFUNCTION("""COMPUTED_VALUE"""),"ABC ARBITRAGE")</f>
        <v>ABC ARBITRAGE</v>
      </c>
      <c r="Q26" s="145">
        <f>IFERROR(__xludf.DUMMYFUNCTION("""COMPUTED_VALUE"""),0.0)</f>
        <v>0</v>
      </c>
      <c r="R26" s="138">
        <f>IFERROR(__xludf.DUMMYFUNCTION("""COMPUTED_VALUE"""),217.05999999999995)</f>
        <v>217.06</v>
      </c>
    </row>
    <row r="27">
      <c r="A27" s="122">
        <v>43616.0</v>
      </c>
      <c r="B27" s="124" t="s">
        <v>268</v>
      </c>
      <c r="C27" s="124" t="s">
        <v>270</v>
      </c>
      <c r="D27" s="124" t="s">
        <v>378</v>
      </c>
      <c r="E27" s="125"/>
      <c r="F27" s="126"/>
      <c r="G27" s="128">
        <v>-2.26</v>
      </c>
      <c r="H27" s="130" t="s">
        <v>406</v>
      </c>
      <c r="I27" s="138">
        <f t="shared" ref="I27:J27" si="29">IFS(AND($B27&lt;&gt;"",$E27&lt;&gt;""),IF(INDEX(N:N,MATCH($C27,$P:$P,0),1)&lt;&gt;"",$E27*INDEX(N:N,MATCH($C27,$P:$P,0),1)+$G27,""),AND($B27&lt;&gt;"",$D27="COST",$G27&lt;0),$G27,TRUE,)</f>
        <v>-2.26</v>
      </c>
      <c r="J27" s="138">
        <f t="shared" si="29"/>
        <v>-2.26</v>
      </c>
      <c r="K27" s="141" t="str">
        <f t="shared" si="3"/>
        <v>iShares Treasury Bond 20+ UCITS</v>
      </c>
      <c r="L27" s="145">
        <f t="shared" si="4"/>
        <v>62993</v>
      </c>
      <c r="M27" s="148">
        <f t="shared" si="5"/>
        <v>-252853.59</v>
      </c>
      <c r="N27" s="155" t="str">
        <f>IF($P27&lt;&gt;"",IF(MAXIFS(Investment!$M:$M,Investment!$H:$H,LEFT($P27,30)&amp;"*"),MAXIFS(Investment!$M:$M,Investment!$H:$H,LEFT($P27,30)&amp;"*"),),)</f>
        <v/>
      </c>
      <c r="O27" s="158" t="str">
        <f>IF($P27&lt;&gt;"",IF(MAXIFS(Investment!$AH:$AH,Investment!$H:$H,LEFT($P27,30)&amp;"*"),MAXIFS(Investment!$AH:$AH,Investment!$H:$H,LEFT($P27,30)&amp;"*"),),)</f>
        <v/>
      </c>
      <c r="P27" s="141" t="str">
        <f>IFERROR(__xludf.DUMMYFUNCTION("""COMPUTED_VALUE"""),"TOTAL SA")</f>
        <v>TOTAL SA</v>
      </c>
      <c r="Q27" s="145">
        <f>IFERROR(__xludf.DUMMYFUNCTION("""COMPUTED_VALUE"""),0.0)</f>
        <v>0</v>
      </c>
      <c r="R27" s="138">
        <f>IFERROR(__xludf.DUMMYFUNCTION("""COMPUTED_VALUE"""),137.90999999999985)</f>
        <v>137.91</v>
      </c>
    </row>
    <row r="28">
      <c r="A28" s="122">
        <v>43616.0</v>
      </c>
      <c r="B28" s="124" t="s">
        <v>364</v>
      </c>
      <c r="C28" s="124" t="s">
        <v>366</v>
      </c>
      <c r="D28" s="124" t="s">
        <v>319</v>
      </c>
      <c r="E28" s="125">
        <v>-6.0</v>
      </c>
      <c r="F28" s="126">
        <v>178.2999</v>
      </c>
      <c r="G28" s="128">
        <v>1069.8</v>
      </c>
      <c r="H28" s="130" t="s">
        <v>407</v>
      </c>
      <c r="I28" s="138">
        <f t="shared" ref="I28:J28" si="30">IFS(AND($B28&lt;&gt;"",$E28&lt;&gt;""),IF(INDEX(N:N,MATCH($C28,$P:$P,0),1)&lt;&gt;"",$E28*INDEX(N:N,MATCH($C28,$P:$P,0),1)+$G28,""),AND($B28&lt;&gt;"",$D28="COST",$G28&lt;0),$G28,TRUE,)</f>
        <v>4.8</v>
      </c>
      <c r="J28" s="138">
        <f t="shared" si="30"/>
        <v>63.20976563</v>
      </c>
      <c r="K28" s="141" t="str">
        <f t="shared" si="3"/>
        <v>iShares Treasury Bond 7-10 UCITS</v>
      </c>
      <c r="L28" s="145">
        <f t="shared" si="4"/>
        <v>597</v>
      </c>
      <c r="M28" s="148">
        <f t="shared" si="5"/>
        <v>-91106.6</v>
      </c>
      <c r="N28" s="155" t="str">
        <f>IF($P28&lt;&gt;"",IF(MAXIFS(Investment!$M:$M,Investment!$H:$H,LEFT($P28,30)&amp;"*"),MAXIFS(Investment!$M:$M,Investment!$H:$H,LEFT($P28,30)&amp;"*"),),)</f>
        <v/>
      </c>
      <c r="O28" s="158" t="str">
        <f>IF($P28&lt;&gt;"",IF(MAXIFS(Investment!$AH:$AH,Investment!$H:$H,LEFT($P28,30)&amp;"*"),MAXIFS(Investment!$AH:$AH,Investment!$H:$H,LEFT($P28,30)&amp;"*"),),)</f>
        <v/>
      </c>
      <c r="P28" s="141" t="str">
        <f>IFERROR(__xludf.DUMMYFUNCTION("""COMPUTED_VALUE"""),"FRANCE TELECOM")</f>
        <v>FRANCE TELECOM</v>
      </c>
      <c r="Q28" s="145">
        <f>IFERROR(__xludf.DUMMYFUNCTION("""COMPUTED_VALUE"""),0.0)</f>
        <v>0</v>
      </c>
      <c r="R28" s="138">
        <f>IFERROR(__xludf.DUMMYFUNCTION("""COMPUTED_VALUE"""),1049.8199999999997)</f>
        <v>1049.82</v>
      </c>
    </row>
    <row r="29">
      <c r="A29" s="122">
        <v>43616.0</v>
      </c>
      <c r="B29" s="124" t="s">
        <v>317</v>
      </c>
      <c r="C29" s="124" t="s">
        <v>318</v>
      </c>
      <c r="D29" s="124" t="s">
        <v>319</v>
      </c>
      <c r="E29" s="125">
        <v>-10.0</v>
      </c>
      <c r="F29" s="126">
        <v>110.96</v>
      </c>
      <c r="G29" s="128">
        <v>1109.6</v>
      </c>
      <c r="H29" s="130" t="s">
        <v>410</v>
      </c>
      <c r="I29" s="138">
        <f t="shared" ref="I29:J29" si="31">IFS(AND($B29&lt;&gt;"",$E29&lt;&gt;""),IF(INDEX(N:N,MATCH($C29,$P:$P,0),1)&lt;&gt;"",$E29*INDEX(N:N,MATCH($C29,$P:$P,0),1)+$G29,""),AND($B29&lt;&gt;"",$D29="COST",$G29&lt;0),$G29,TRUE,)</f>
        <v>-71.4</v>
      </c>
      <c r="J29" s="138">
        <f t="shared" si="31"/>
        <v>52.56953125</v>
      </c>
      <c r="K29" s="141" t="str">
        <f t="shared" si="3"/>
        <v>ETFS Physical Gold</v>
      </c>
      <c r="L29" s="145">
        <f t="shared" si="4"/>
        <v>443</v>
      </c>
      <c r="M29" s="148">
        <f t="shared" si="5"/>
        <v>-44918.1</v>
      </c>
      <c r="N29" s="155" t="str">
        <f>IF($P29&lt;&gt;"",IF(MAXIFS(Investment!$M:$M,Investment!$H:$H,LEFT($P29,30)&amp;"*"),MAXIFS(Investment!$M:$M,Investment!$H:$H,LEFT($P29,30)&amp;"*"),),)</f>
        <v/>
      </c>
      <c r="O29" s="158" t="str">
        <f>IF($P29&lt;&gt;"",IF(MAXIFS(Investment!$AH:$AH,Investment!$H:$H,LEFT($P29,30)&amp;"*"),MAXIFS(Investment!$AH:$AH,Investment!$H:$H,LEFT($P29,30)&amp;"*"),),)</f>
        <v/>
      </c>
      <c r="P29" s="141" t="str">
        <f>IFERROR(__xludf.DUMMYFUNCTION("""COMPUTED_VALUE"""),"VIVENDI")</f>
        <v>VIVENDI</v>
      </c>
      <c r="Q29" s="145">
        <f>IFERROR(__xludf.DUMMYFUNCTION("""COMPUTED_VALUE"""),0.0)</f>
        <v>0</v>
      </c>
      <c r="R29" s="138">
        <f>IFERROR(__xludf.DUMMYFUNCTION("""COMPUTED_VALUE"""),460.3100000000004)</f>
        <v>460.31</v>
      </c>
    </row>
    <row r="30">
      <c r="A30" s="122">
        <v>43616.0</v>
      </c>
      <c r="B30" s="124" t="s">
        <v>364</v>
      </c>
      <c r="C30" s="124" t="s">
        <v>366</v>
      </c>
      <c r="D30" s="124" t="s">
        <v>319</v>
      </c>
      <c r="E30" s="125">
        <v>-6.0</v>
      </c>
      <c r="F30" s="126">
        <v>178.73</v>
      </c>
      <c r="G30" s="128">
        <v>1072.38</v>
      </c>
      <c r="H30" s="130" t="s">
        <v>414</v>
      </c>
      <c r="I30" s="138">
        <f t="shared" ref="I30:J30" si="32">IFS(AND($B30&lt;&gt;"",$E30&lt;&gt;""),IF(INDEX(N:N,MATCH($C30,$P:$P,0),1)&lt;&gt;"",$E30*INDEX(N:N,MATCH($C30,$P:$P,0),1)+$G30,""),AND($B30&lt;&gt;"",$D30="COST",$G30&lt;0),$G30,TRUE,)</f>
        <v>7.38</v>
      </c>
      <c r="J30" s="138">
        <f t="shared" si="32"/>
        <v>65.78976563</v>
      </c>
      <c r="K30" s="141" t="str">
        <f t="shared" si="3"/>
        <v>iShares Treasury Bond 7-10 UCITS</v>
      </c>
      <c r="L30" s="145">
        <f t="shared" si="4"/>
        <v>597</v>
      </c>
      <c r="M30" s="148">
        <f t="shared" si="5"/>
        <v>-91106.6</v>
      </c>
      <c r="N30" s="155" t="str">
        <f>IF($P30&lt;&gt;"",IF(MAXIFS(Investment!$M:$M,Investment!$H:$H,LEFT($P30,30)&amp;"*"),MAXIFS(Investment!$M:$M,Investment!$H:$H,LEFT($P30,30)&amp;"*"),),)</f>
        <v/>
      </c>
      <c r="O30" s="158" t="str">
        <f>IF($P30&lt;&gt;"",IF(MAXIFS(Investment!$AH:$AH,Investment!$H:$H,LEFT($P30,30)&amp;"*"),MAXIFS(Investment!$AH:$AH,Investment!$H:$H,LEFT($P30,30)&amp;"*"),),)</f>
        <v/>
      </c>
      <c r="P30" s="141" t="str">
        <f>IFERROR(__xludf.DUMMYFUNCTION("""COMPUTED_VALUE"""),"PEUGEOT")</f>
        <v>PEUGEOT</v>
      </c>
      <c r="Q30" s="145">
        <f>IFERROR(__xludf.DUMMYFUNCTION("""COMPUTED_VALUE"""),0.0)</f>
        <v>0</v>
      </c>
      <c r="R30" s="138">
        <f>IFERROR(__xludf.DUMMYFUNCTION("""COMPUTED_VALUE"""),-532.01)</f>
        <v>-532.01</v>
      </c>
    </row>
    <row r="31">
      <c r="A31" s="122">
        <v>43616.0</v>
      </c>
      <c r="B31" s="124" t="s">
        <v>268</v>
      </c>
      <c r="C31" s="124" t="s">
        <v>270</v>
      </c>
      <c r="D31" s="124" t="s">
        <v>319</v>
      </c>
      <c r="E31" s="125">
        <v>-1131.0</v>
      </c>
      <c r="F31" s="126">
        <v>4.4368</v>
      </c>
      <c r="G31" s="128">
        <v>5018.13</v>
      </c>
      <c r="H31" s="130" t="s">
        <v>415</v>
      </c>
      <c r="I31" s="138">
        <f t="shared" ref="I31:J31" si="33">IFS(AND($B31&lt;&gt;"",$E31&lt;&gt;""),IF(INDEX(N:N,MATCH($C31,$P:$P,0),1)&lt;&gt;"",$E31*INDEX(N:N,MATCH($C31,$P:$P,0),1)+$G31,""),AND($B31&lt;&gt;"",$D31="COST",$G31&lt;0),$G31,TRUE,)</f>
        <v>102.804</v>
      </c>
      <c r="J31" s="138">
        <f t="shared" si="33"/>
        <v>514.0420061</v>
      </c>
      <c r="K31" s="141" t="str">
        <f t="shared" si="3"/>
        <v>iShares Treasury Bond 20+ UCITS</v>
      </c>
      <c r="L31" s="145">
        <f t="shared" si="4"/>
        <v>62993</v>
      </c>
      <c r="M31" s="148">
        <f t="shared" si="5"/>
        <v>-252853.59</v>
      </c>
      <c r="N31" s="155" t="str">
        <f>IF($P31&lt;&gt;"",IF(MAXIFS(Investment!$M:$M,Investment!$H:$H,LEFT($P31,30)&amp;"*"),MAXIFS(Investment!$M:$M,Investment!$H:$H,LEFT($P31,30)&amp;"*"),),)</f>
        <v/>
      </c>
      <c r="O31" s="158" t="str">
        <f>IF($P31&lt;&gt;"",IF(MAXIFS(Investment!$AH:$AH,Investment!$H:$H,LEFT($P31,30)&amp;"*"),MAXIFS(Investment!$AH:$AH,Investment!$H:$H,LEFT($P31,30)&amp;"*"),),)</f>
        <v/>
      </c>
      <c r="P31" s="141" t="str">
        <f>IFERROR(__xludf.DUMMYFUNCTION("""COMPUTED_VALUE"""),"CREDIT AGRICOLE")</f>
        <v>CREDIT AGRICOLE</v>
      </c>
      <c r="Q31" s="145">
        <f>IFERROR(__xludf.DUMMYFUNCTION("""COMPUTED_VALUE"""),0.0)</f>
        <v>0</v>
      </c>
      <c r="R31" s="138">
        <f>IFERROR(__xludf.DUMMYFUNCTION("""COMPUTED_VALUE"""),173.19000000000005)</f>
        <v>173.19</v>
      </c>
    </row>
    <row r="32">
      <c r="A32" s="122">
        <v>43616.0</v>
      </c>
      <c r="B32" s="124" t="s">
        <v>268</v>
      </c>
      <c r="C32" s="124" t="s">
        <v>270</v>
      </c>
      <c r="D32" s="124" t="s">
        <v>378</v>
      </c>
      <c r="E32" s="125"/>
      <c r="F32" s="126"/>
      <c r="G32" s="128">
        <v>-3.0</v>
      </c>
      <c r="H32" s="130" t="s">
        <v>422</v>
      </c>
      <c r="I32" s="138">
        <f t="shared" ref="I32:J32" si="34">IFS(AND($B32&lt;&gt;"",$E32&lt;&gt;""),IF(INDEX(N:N,MATCH($C32,$P:$P,0),1)&lt;&gt;"",$E32*INDEX(N:N,MATCH($C32,$P:$P,0),1)+$G32,""),AND($B32&lt;&gt;"",$D32="COST",$G32&lt;0),$G32,TRUE,)</f>
        <v>-3</v>
      </c>
      <c r="J32" s="138">
        <f t="shared" si="34"/>
        <v>-3</v>
      </c>
      <c r="K32" s="141" t="str">
        <f t="shared" si="3"/>
        <v>iShares Treasury Bond 20+ UCITS</v>
      </c>
      <c r="L32" s="145">
        <f t="shared" si="4"/>
        <v>62993</v>
      </c>
      <c r="M32" s="148">
        <f t="shared" si="5"/>
        <v>-252853.59</v>
      </c>
      <c r="N32" s="155" t="str">
        <f>IF($P32&lt;&gt;"",IF(MAXIFS(Investment!$M:$M,Investment!$H:$H,LEFT($P32,30)&amp;"*"),MAXIFS(Investment!$M:$M,Investment!$H:$H,LEFT($P32,30)&amp;"*"),),)</f>
        <v/>
      </c>
      <c r="O32" s="158" t="str">
        <f>IF($P32&lt;&gt;"",IF(MAXIFS(Investment!$AH:$AH,Investment!$H:$H,LEFT($P32,30)&amp;"*"),MAXIFS(Investment!$AH:$AH,Investment!$H:$H,LEFT($P32,30)&amp;"*"),),)</f>
        <v/>
      </c>
      <c r="P32" s="141" t="str">
        <f>IFERROR(__xludf.DUMMYFUNCTION("""COMPUTED_VALUE"""),"VEOLIA ENVIRON")</f>
        <v>VEOLIA ENVIRON</v>
      </c>
      <c r="Q32" s="145">
        <f>IFERROR(__xludf.DUMMYFUNCTION("""COMPUTED_VALUE"""),0.0)</f>
        <v>0</v>
      </c>
      <c r="R32" s="138">
        <f>IFERROR(__xludf.DUMMYFUNCTION("""COMPUTED_VALUE"""),401.0100000000002)</f>
        <v>401.01</v>
      </c>
    </row>
    <row r="33">
      <c r="A33" s="122">
        <v>43614.0</v>
      </c>
      <c r="B33" s="124" t="s">
        <v>268</v>
      </c>
      <c r="C33" s="124" t="s">
        <v>270</v>
      </c>
      <c r="D33" s="124" t="s">
        <v>319</v>
      </c>
      <c r="E33" s="125">
        <v>-1016.0</v>
      </c>
      <c r="F33" s="126">
        <v>4.3762</v>
      </c>
      <c r="G33" s="128">
        <v>4446.32</v>
      </c>
      <c r="H33" s="130" t="s">
        <v>426</v>
      </c>
      <c r="I33" s="138">
        <f t="shared" ref="I33:J33" si="35">IFS(AND($B33&lt;&gt;"",$E33&lt;&gt;""),IF(INDEX(N:N,MATCH($C33,$P:$P,0),1)&lt;&gt;"",$E33*INDEX(N:N,MATCH($C33,$P:$P,0),1)+$G33,""),AND($B33&lt;&gt;"",$D33="COST",$G33&lt;0),$G33,TRUE,)</f>
        <v>30.784</v>
      </c>
      <c r="J33" s="138">
        <f t="shared" si="35"/>
        <v>400.2073547</v>
      </c>
      <c r="K33" s="141" t="str">
        <f t="shared" si="3"/>
        <v>iShares Treasury Bond 20+ UCITS</v>
      </c>
      <c r="L33" s="145">
        <f t="shared" si="4"/>
        <v>62993</v>
      </c>
      <c r="M33" s="148">
        <f t="shared" si="5"/>
        <v>-252853.59</v>
      </c>
      <c r="N33" s="155" t="str">
        <f>IF($P33&lt;&gt;"",IF(MAXIFS(Investment!$M:$M,Investment!$H:$H,LEFT($P33,30)&amp;"*"),MAXIFS(Investment!$M:$M,Investment!$H:$H,LEFT($P33,30)&amp;"*"),),)</f>
        <v/>
      </c>
      <c r="O33" s="158" t="str">
        <f>IF($P33&lt;&gt;"",IF(MAXIFS(Investment!$AH:$AH,Investment!$H:$H,LEFT($P33,30)&amp;"*"),MAXIFS(Investment!$AH:$AH,Investment!$H:$H,LEFT($P33,30)&amp;"*"),),)</f>
        <v/>
      </c>
      <c r="P33" s="141"/>
      <c r="Q33" s="145"/>
      <c r="R33" s="138"/>
    </row>
    <row r="34">
      <c r="A34" s="122">
        <v>43614.0</v>
      </c>
      <c r="B34" s="124" t="s">
        <v>268</v>
      </c>
      <c r="C34" s="124" t="s">
        <v>270</v>
      </c>
      <c r="D34" s="124" t="s">
        <v>378</v>
      </c>
      <c r="E34" s="125"/>
      <c r="F34" s="126"/>
      <c r="G34" s="128">
        <v>-2.89</v>
      </c>
      <c r="H34" s="130" t="s">
        <v>427</v>
      </c>
      <c r="I34" s="138">
        <f t="shared" ref="I34:J34" si="36">IFS(AND($B34&lt;&gt;"",$E34&lt;&gt;""),IF(INDEX(N:N,MATCH($C34,$P:$P,0),1)&lt;&gt;"",$E34*INDEX(N:N,MATCH($C34,$P:$P,0),1)+$G34,""),AND($B34&lt;&gt;"",$D34="COST",$G34&lt;0),$G34,TRUE,)</f>
        <v>-2.89</v>
      </c>
      <c r="J34" s="138">
        <f t="shared" si="36"/>
        <v>-2.89</v>
      </c>
      <c r="K34" s="141" t="str">
        <f t="shared" si="3"/>
        <v>iShares Treasury Bond 20+ UCITS</v>
      </c>
      <c r="L34" s="145">
        <f t="shared" si="4"/>
        <v>62993</v>
      </c>
      <c r="M34" s="148">
        <f t="shared" si="5"/>
        <v>-252853.59</v>
      </c>
      <c r="N34" s="155" t="str">
        <f>IF($P34&lt;&gt;"",IF(MAXIFS(Investment!$M:$M,Investment!$H:$H,LEFT($P34,30)&amp;"*"),MAXIFS(Investment!$M:$M,Investment!$H:$H,LEFT($P34,30)&amp;"*"),),)</f>
        <v/>
      </c>
      <c r="O34" s="158" t="str">
        <f>IF($P34&lt;&gt;"",IF(MAXIFS(Investment!$AH:$AH,Investment!$H:$H,LEFT($P34,30)&amp;"*"),MAXIFS(Investment!$AH:$AH,Investment!$H:$H,LEFT($P34,30)&amp;"*"),),)</f>
        <v/>
      </c>
      <c r="P34" s="141"/>
      <c r="Q34" s="145"/>
      <c r="R34" s="138"/>
    </row>
    <row r="35">
      <c r="A35" s="122">
        <v>43613.0</v>
      </c>
      <c r="B35" s="124" t="s">
        <v>268</v>
      </c>
      <c r="C35" s="124" t="s">
        <v>270</v>
      </c>
      <c r="D35" s="124" t="s">
        <v>319</v>
      </c>
      <c r="E35" s="125">
        <v>-258.0</v>
      </c>
      <c r="F35" s="126">
        <v>4.3348</v>
      </c>
      <c r="G35" s="128">
        <v>1118.4</v>
      </c>
      <c r="H35" s="130" t="s">
        <v>429</v>
      </c>
      <c r="I35" s="138">
        <f t="shared" ref="I35:J35" si="37">IFS(AND($B35&lt;&gt;"",$E35&lt;&gt;""),IF(INDEX(N:N,MATCH($C35,$P:$P,0),1)&lt;&gt;"",$E35*INDEX(N:N,MATCH($C35,$P:$P,0),1)+$G35,""),AND($B35&lt;&gt;"",$D35="COST",$G35&lt;0),$G35,TRUE,)</f>
        <v>-2.868</v>
      </c>
      <c r="J35" s="138">
        <f t="shared" si="37"/>
        <v>90.94226133</v>
      </c>
      <c r="K35" s="141" t="str">
        <f t="shared" si="3"/>
        <v>iShares Treasury Bond 20+ UCITS</v>
      </c>
      <c r="L35" s="145">
        <f t="shared" si="4"/>
        <v>62993</v>
      </c>
      <c r="M35" s="148">
        <f t="shared" si="5"/>
        <v>-252853.59</v>
      </c>
      <c r="N35" s="155" t="str">
        <f>IF($P35&lt;&gt;"",IF(MAXIFS(Investment!$M:$M,Investment!$H:$H,LEFT($P35,30)&amp;"*"),MAXIFS(Investment!$M:$M,Investment!$H:$H,LEFT($P35,30)&amp;"*"),),)</f>
        <v/>
      </c>
      <c r="O35" s="158" t="str">
        <f>IF($P35&lt;&gt;"",IF(MAXIFS(Investment!$AH:$AH,Investment!$H:$H,LEFT($P35,30)&amp;"*"),MAXIFS(Investment!$AH:$AH,Investment!$H:$H,LEFT($P35,30)&amp;"*"),),)</f>
        <v/>
      </c>
      <c r="P35" s="141"/>
      <c r="Q35" s="145"/>
      <c r="R35" s="138"/>
    </row>
    <row r="36">
      <c r="A36" s="122">
        <v>43613.0</v>
      </c>
      <c r="B36" s="124" t="s">
        <v>268</v>
      </c>
      <c r="C36" s="124" t="s">
        <v>270</v>
      </c>
      <c r="D36" s="124" t="s">
        <v>378</v>
      </c>
      <c r="E36" s="125"/>
      <c r="F36" s="126"/>
      <c r="G36" s="128">
        <v>-2.22</v>
      </c>
      <c r="H36" s="130" t="s">
        <v>433</v>
      </c>
      <c r="I36" s="138">
        <f t="shared" ref="I36:J36" si="38">IFS(AND($B36&lt;&gt;"",$E36&lt;&gt;""),IF(INDEX(N:N,MATCH($C36,$P:$P,0),1)&lt;&gt;"",$E36*INDEX(N:N,MATCH($C36,$P:$P,0),1)+$G36,""),AND($B36&lt;&gt;"",$D36="COST",$G36&lt;0),$G36,TRUE,)</f>
        <v>-2.22</v>
      </c>
      <c r="J36" s="138">
        <f t="shared" si="38"/>
        <v>-2.22</v>
      </c>
      <c r="K36" s="141" t="str">
        <f t="shared" si="3"/>
        <v>iShares Treasury Bond 20+ UCITS</v>
      </c>
      <c r="L36" s="145">
        <f t="shared" si="4"/>
        <v>62993</v>
      </c>
      <c r="M36" s="148">
        <f t="shared" si="5"/>
        <v>-252853.59</v>
      </c>
      <c r="N36" s="155" t="str">
        <f>IF($P36&lt;&gt;"",IF(MAXIFS(Investment!$M:$M,Investment!$H:$H,LEFT($P36,30)&amp;"*"),MAXIFS(Investment!$M:$M,Investment!$H:$H,LEFT($P36,30)&amp;"*"),),)</f>
        <v/>
      </c>
      <c r="O36" s="158" t="str">
        <f>IF($P36&lt;&gt;"",IF(MAXIFS(Investment!$AH:$AH,Investment!$H:$H,LEFT($P36,30)&amp;"*"),MAXIFS(Investment!$AH:$AH,Investment!$H:$H,LEFT($P36,30)&amp;"*"),),)</f>
        <v/>
      </c>
      <c r="P36" s="141"/>
      <c r="Q36" s="145"/>
      <c r="R36" s="138"/>
    </row>
    <row r="37">
      <c r="A37" s="122">
        <v>43609.0</v>
      </c>
      <c r="B37" s="124" t="s">
        <v>268</v>
      </c>
      <c r="C37" s="124" t="s">
        <v>270</v>
      </c>
      <c r="D37" s="124" t="s">
        <v>319</v>
      </c>
      <c r="E37" s="125">
        <v>-249.0</v>
      </c>
      <c r="F37" s="126">
        <v>4.2953</v>
      </c>
      <c r="G37" s="128">
        <v>1069.53</v>
      </c>
      <c r="H37" s="130" t="s">
        <v>434</v>
      </c>
      <c r="I37" s="138">
        <f t="shared" ref="I37:J37" si="39">IFS(AND($B37&lt;&gt;"",$E37&lt;&gt;""),IF(INDEX(N:N,MATCH($C37,$P:$P,0),1)&lt;&gt;"",$E37*INDEX(N:N,MATCH($C37,$P:$P,0),1)+$G37,""),AND($B37&lt;&gt;"",$D37="COST",$G37&lt;0),$G37,TRUE,)</f>
        <v>-12.624</v>
      </c>
      <c r="J37" s="138">
        <f t="shared" si="39"/>
        <v>77.91381035</v>
      </c>
      <c r="K37" s="141" t="str">
        <f t="shared" si="3"/>
        <v>iShares Treasury Bond 20+ UCITS</v>
      </c>
      <c r="L37" s="145">
        <f t="shared" si="4"/>
        <v>62993</v>
      </c>
      <c r="M37" s="148">
        <f t="shared" si="5"/>
        <v>-252853.59</v>
      </c>
      <c r="N37" s="155" t="str">
        <f>IF($P37&lt;&gt;"",IF(MAXIFS(Investment!$M:$M,Investment!$H:$H,LEFT($P37,30)&amp;"*"),MAXIFS(Investment!$M:$M,Investment!$H:$H,LEFT($P37,30)&amp;"*"),),)</f>
        <v/>
      </c>
      <c r="O37" s="158" t="str">
        <f>IF($P37&lt;&gt;"",IF(MAXIFS(Investment!$AH:$AH,Investment!$H:$H,LEFT($P37,30)&amp;"*"),MAXIFS(Investment!$AH:$AH,Investment!$H:$H,LEFT($P37,30)&amp;"*"),),)</f>
        <v/>
      </c>
      <c r="P37" s="141"/>
      <c r="Q37" s="145"/>
      <c r="R37" s="138"/>
    </row>
    <row r="38">
      <c r="A38" s="122">
        <v>43609.0</v>
      </c>
      <c r="B38" s="124" t="s">
        <v>268</v>
      </c>
      <c r="C38" s="124" t="s">
        <v>270</v>
      </c>
      <c r="D38" s="124" t="s">
        <v>378</v>
      </c>
      <c r="E38" s="125"/>
      <c r="F38" s="126"/>
      <c r="G38" s="128">
        <v>-2.21</v>
      </c>
      <c r="H38" s="130" t="s">
        <v>438</v>
      </c>
      <c r="I38" s="138">
        <f t="shared" ref="I38:J38" si="40">IFS(AND($B38&lt;&gt;"",$E38&lt;&gt;""),IF(INDEX(N:N,MATCH($C38,$P:$P,0),1)&lt;&gt;"",$E38*INDEX(N:N,MATCH($C38,$P:$P,0),1)+$G38,""),AND($B38&lt;&gt;"",$D38="COST",$G38&lt;0),$G38,TRUE,)</f>
        <v>-2.21</v>
      </c>
      <c r="J38" s="138">
        <f t="shared" si="40"/>
        <v>-2.21</v>
      </c>
      <c r="K38" s="141" t="str">
        <f t="shared" si="3"/>
        <v>iShares Treasury Bond 20+ UCITS</v>
      </c>
      <c r="L38" s="145">
        <f t="shared" si="4"/>
        <v>62993</v>
      </c>
      <c r="M38" s="148">
        <f t="shared" si="5"/>
        <v>-252853.59</v>
      </c>
      <c r="N38" s="155" t="str">
        <f>IF($P38&lt;&gt;"",IF(MAXIFS(Investment!$M:$M,Investment!$H:$H,LEFT($P38,30)&amp;"*"),MAXIFS(Investment!$M:$M,Investment!$H:$H,LEFT($P38,30)&amp;"*"),),)</f>
        <v/>
      </c>
      <c r="O38" s="158" t="str">
        <f>IF($P38&lt;&gt;"",IF(MAXIFS(Investment!$AH:$AH,Investment!$H:$H,LEFT($P38,30)&amp;"*"),MAXIFS(Investment!$AH:$AH,Investment!$H:$H,LEFT($P38,30)&amp;"*"),),)</f>
        <v/>
      </c>
      <c r="P38" s="141"/>
      <c r="Q38" s="145"/>
      <c r="R38" s="138"/>
    </row>
    <row r="39">
      <c r="A39" s="200">
        <v>43608.0</v>
      </c>
      <c r="B39" s="202" t="s">
        <v>268</v>
      </c>
      <c r="C39" s="202" t="s">
        <v>270</v>
      </c>
      <c r="D39" s="202" t="s">
        <v>378</v>
      </c>
      <c r="E39" s="204"/>
      <c r="F39" s="206"/>
      <c r="G39" s="208">
        <v>-2.21</v>
      </c>
      <c r="H39" s="209" t="s">
        <v>438</v>
      </c>
      <c r="I39" s="168">
        <f t="shared" ref="I39:J39" si="41">IFS(AND($B39&lt;&gt;"",$E39&lt;&gt;""),IF(INDEX(N:N,MATCH($C39,$P:$P,0),1)&lt;&gt;"",$E39*INDEX(N:N,MATCH($C39,$P:$P,0),1)+$G39,""),AND($B39&lt;&gt;"",$D39="COST",$G39&lt;0),$G39,TRUE,)</f>
        <v>-2.21</v>
      </c>
      <c r="J39" s="168">
        <f t="shared" si="41"/>
        <v>-2.21</v>
      </c>
      <c r="K39" s="141" t="str">
        <f t="shared" si="3"/>
        <v>iShares Treasury Bond 20+ UCITS</v>
      </c>
      <c r="L39" s="145">
        <f t="shared" si="4"/>
        <v>62993</v>
      </c>
      <c r="M39" s="148">
        <f t="shared" si="5"/>
        <v>-252853.59</v>
      </c>
      <c r="N39" s="155" t="str">
        <f>IF($P39&lt;&gt;"",IF(MAXIFS(Investment!$M:$M,Investment!$H:$H,LEFT($P39,30)&amp;"*"),MAXIFS(Investment!$M:$M,Investment!$H:$H,LEFT($P39,30)&amp;"*"),),)</f>
        <v/>
      </c>
      <c r="O39" s="158" t="str">
        <f>IF($P39&lt;&gt;"",IF(MAXIFS(Investment!$AH:$AH,Investment!$H:$H,LEFT($P39,30)&amp;"*"),MAXIFS(Investment!$AH:$AH,Investment!$H:$H,LEFT($P39,30)&amp;"*"),),)</f>
        <v/>
      </c>
      <c r="P39" s="141"/>
      <c r="Q39" s="145"/>
      <c r="R39" s="138"/>
    </row>
    <row r="40">
      <c r="A40" s="214">
        <v>43608.0</v>
      </c>
      <c r="B40" s="216" t="s">
        <v>268</v>
      </c>
      <c r="C40" s="216" t="s">
        <v>270</v>
      </c>
      <c r="D40" s="216" t="s">
        <v>378</v>
      </c>
      <c r="E40" s="217"/>
      <c r="F40" s="218"/>
      <c r="G40" s="219">
        <v>-2.21</v>
      </c>
      <c r="H40" s="220" t="s">
        <v>438</v>
      </c>
      <c r="I40" s="194">
        <f t="shared" ref="I40:J40" si="42">IFS(AND($B40&lt;&gt;"",$E40&lt;&gt;""),IF(INDEX(N:N,MATCH($C40,$P:$P,0),1)&lt;&gt;"",$E40*INDEX(N:N,MATCH($C40,$P:$P,0),1)+$G40,""),AND($B40&lt;&gt;"",$D40="COST",$G40&lt;0),$G40,TRUE,)</f>
        <v>-2.21</v>
      </c>
      <c r="J40" s="194">
        <f t="shared" si="42"/>
        <v>-2.21</v>
      </c>
      <c r="K40" s="141" t="str">
        <f t="shared" si="3"/>
        <v>iShares Treasury Bond 20+ UCITS</v>
      </c>
      <c r="L40" s="145">
        <f t="shared" si="4"/>
        <v>62993</v>
      </c>
      <c r="M40" s="148">
        <f t="shared" si="5"/>
        <v>-252853.59</v>
      </c>
      <c r="N40" s="155" t="str">
        <f>IF($P40&lt;&gt;"",IF(MAXIFS(Investment!$M:$M,Investment!$H:$H,LEFT($P40,30)&amp;"*"),MAXIFS(Investment!$M:$M,Investment!$H:$H,LEFT($P40,30)&amp;"*"),),)</f>
        <v/>
      </c>
      <c r="O40" s="158" t="str">
        <f>IF($P40&lt;&gt;"",IF(MAXIFS(Investment!$AH:$AH,Investment!$H:$H,LEFT($P40,30)&amp;"*"),MAXIFS(Investment!$AH:$AH,Investment!$H:$H,LEFT($P40,30)&amp;"*"),),)</f>
        <v/>
      </c>
      <c r="P40" s="141"/>
      <c r="Q40" s="145"/>
      <c r="R40" s="138"/>
    </row>
    <row r="41">
      <c r="A41" s="122">
        <v>43608.0</v>
      </c>
      <c r="B41" s="124" t="s">
        <v>268</v>
      </c>
      <c r="C41" s="124" t="s">
        <v>270</v>
      </c>
      <c r="D41" s="124" t="s">
        <v>319</v>
      </c>
      <c r="E41" s="125">
        <v>-277.0</v>
      </c>
      <c r="F41" s="126">
        <v>4.3067</v>
      </c>
      <c r="G41" s="128">
        <v>1192.96</v>
      </c>
      <c r="H41" s="130" t="s">
        <v>448</v>
      </c>
      <c r="I41" s="138">
        <f t="shared" ref="I41:J41" si="43">IFS(AND($B41&lt;&gt;"",$E41&lt;&gt;""),IF(INDEX(N:N,MATCH($C41,$P:$P,0),1)&lt;&gt;"",$E41*INDEX(N:N,MATCH($C41,$P:$P,0),1)+$G41,""),AND($B41&lt;&gt;"",$D41="COST",$G41&lt;0),$G41,TRUE,)</f>
        <v>-10.882</v>
      </c>
      <c r="J41" s="138">
        <f t="shared" si="43"/>
        <v>89.83676895</v>
      </c>
      <c r="K41" s="141" t="str">
        <f t="shared" si="3"/>
        <v>iShares Treasury Bond 20+ UCITS</v>
      </c>
      <c r="L41" s="145">
        <f t="shared" si="4"/>
        <v>62993</v>
      </c>
      <c r="M41" s="148">
        <f t="shared" si="5"/>
        <v>-252853.59</v>
      </c>
      <c r="N41" s="155" t="str">
        <f>IF($P41&lt;&gt;"",IF(MAXIFS(Investment!$M:$M,Investment!$H:$H,LEFT($P41,30)&amp;"*"),MAXIFS(Investment!$M:$M,Investment!$H:$H,LEFT($P41,30)&amp;"*"),),)</f>
        <v/>
      </c>
      <c r="O41" s="158" t="str">
        <f>IF($P41&lt;&gt;"",IF(MAXIFS(Investment!$AH:$AH,Investment!$H:$H,LEFT($P41,30)&amp;"*"),MAXIFS(Investment!$AH:$AH,Investment!$H:$H,LEFT($P41,30)&amp;"*"),),)</f>
        <v/>
      </c>
      <c r="P41" s="141"/>
      <c r="Q41" s="145"/>
      <c r="R41" s="138"/>
    </row>
    <row r="42">
      <c r="A42" s="122">
        <v>43608.0</v>
      </c>
      <c r="B42" s="124" t="s">
        <v>268</v>
      </c>
      <c r="C42" s="124" t="s">
        <v>270</v>
      </c>
      <c r="D42" s="124" t="s">
        <v>378</v>
      </c>
      <c r="E42" s="125"/>
      <c r="F42" s="126"/>
      <c r="G42" s="128">
        <v>-2.24</v>
      </c>
      <c r="H42" s="130" t="s">
        <v>449</v>
      </c>
      <c r="I42" s="138">
        <f t="shared" ref="I42:J42" si="44">IFS(AND($B42&lt;&gt;"",$E42&lt;&gt;""),IF(INDEX(N:N,MATCH($C42,$P:$P,0),1)&lt;&gt;"",$E42*INDEX(N:N,MATCH($C42,$P:$P,0),1)+$G42,""),AND($B42&lt;&gt;"",$D42="COST",$G42&lt;0),$G42,TRUE,)</f>
        <v>-2.24</v>
      </c>
      <c r="J42" s="138">
        <f t="shared" si="44"/>
        <v>-2.24</v>
      </c>
      <c r="K42" s="141" t="str">
        <f t="shared" si="3"/>
        <v>iShares Treasury Bond 20+ UCITS</v>
      </c>
      <c r="L42" s="145">
        <f t="shared" si="4"/>
        <v>62993</v>
      </c>
      <c r="M42" s="148">
        <f t="shared" si="5"/>
        <v>-252853.59</v>
      </c>
      <c r="N42" s="155" t="str">
        <f>IF($P42&lt;&gt;"",IF(MAXIFS(Investment!$M:$M,Investment!$H:$H,LEFT($P42,30)&amp;"*"),MAXIFS(Investment!$M:$M,Investment!$H:$H,LEFT($P42,30)&amp;"*"),),)</f>
        <v/>
      </c>
      <c r="O42" s="158" t="str">
        <f>IF($P42&lt;&gt;"",IF(MAXIFS(Investment!$AH:$AH,Investment!$H:$H,LEFT($P42,30)&amp;"*"),MAXIFS(Investment!$AH:$AH,Investment!$H:$H,LEFT($P42,30)&amp;"*"),),)</f>
        <v/>
      </c>
      <c r="P42" s="141"/>
      <c r="Q42" s="145"/>
      <c r="R42" s="138"/>
    </row>
    <row r="43">
      <c r="A43" s="122">
        <v>43608.0</v>
      </c>
      <c r="B43" s="124" t="s">
        <v>268</v>
      </c>
      <c r="C43" s="124" t="s">
        <v>270</v>
      </c>
      <c r="D43" s="124" t="s">
        <v>319</v>
      </c>
      <c r="E43" s="125">
        <v>-292.0</v>
      </c>
      <c r="F43" s="126">
        <v>4.2938</v>
      </c>
      <c r="G43" s="128">
        <v>1253.79</v>
      </c>
      <c r="H43" s="130" t="s">
        <v>451</v>
      </c>
      <c r="I43" s="138">
        <f t="shared" ref="I43:J43" si="45">IFS(AND($B43&lt;&gt;"",$E43&lt;&gt;""),IF(INDEX(N:N,MATCH($C43,$P:$P,0),1)&lt;&gt;"",$E43*INDEX(N:N,MATCH($C43,$P:$P,0),1)+$G43,""),AND($B43&lt;&gt;"",$D43="COST",$G43&lt;0),$G43,TRUE,)</f>
        <v>-15.242</v>
      </c>
      <c r="J43" s="138">
        <f t="shared" si="45"/>
        <v>90.93085391</v>
      </c>
      <c r="K43" s="141" t="str">
        <f t="shared" si="3"/>
        <v>iShares Treasury Bond 20+ UCITS</v>
      </c>
      <c r="L43" s="145">
        <f t="shared" si="4"/>
        <v>62993</v>
      </c>
      <c r="M43" s="148">
        <f t="shared" si="5"/>
        <v>-252853.59</v>
      </c>
      <c r="N43" s="155" t="str">
        <f>IF($P43&lt;&gt;"",IF(MAXIFS(Investment!$M:$M,Investment!$H:$H,LEFT($P43,30)&amp;"*"),MAXIFS(Investment!$M:$M,Investment!$H:$H,LEFT($P43,30)&amp;"*"),),)</f>
        <v/>
      </c>
      <c r="O43" s="158" t="str">
        <f>IF($P43&lt;&gt;"",IF(MAXIFS(Investment!$AH:$AH,Investment!$H:$H,LEFT($P43,30)&amp;"*"),MAXIFS(Investment!$AH:$AH,Investment!$H:$H,LEFT($P43,30)&amp;"*"),),)</f>
        <v/>
      </c>
      <c r="P43" s="141"/>
      <c r="Q43" s="145"/>
      <c r="R43" s="138"/>
    </row>
    <row r="44">
      <c r="A44" s="122">
        <v>43608.0</v>
      </c>
      <c r="B44" s="124" t="s">
        <v>268</v>
      </c>
      <c r="C44" s="124" t="s">
        <v>270</v>
      </c>
      <c r="D44" s="124" t="s">
        <v>378</v>
      </c>
      <c r="E44" s="125"/>
      <c r="F44" s="126"/>
      <c r="G44" s="128">
        <v>-2.25</v>
      </c>
      <c r="H44" s="130" t="s">
        <v>452</v>
      </c>
      <c r="I44" s="138">
        <f t="shared" ref="I44:J44" si="46">IFS(AND($B44&lt;&gt;"",$E44&lt;&gt;""),IF(INDEX(N:N,MATCH($C44,$P:$P,0),1)&lt;&gt;"",$E44*INDEX(N:N,MATCH($C44,$P:$P,0),1)+$G44,""),AND($B44&lt;&gt;"",$D44="COST",$G44&lt;0),$G44,TRUE,)</f>
        <v>-2.25</v>
      </c>
      <c r="J44" s="138">
        <f t="shared" si="46"/>
        <v>-2.25</v>
      </c>
      <c r="K44" s="141" t="str">
        <f t="shared" si="3"/>
        <v>iShares Treasury Bond 20+ UCITS</v>
      </c>
      <c r="L44" s="145">
        <f t="shared" si="4"/>
        <v>62993</v>
      </c>
      <c r="M44" s="148">
        <f t="shared" si="5"/>
        <v>-252853.59</v>
      </c>
      <c r="N44" s="155" t="str">
        <f>IF($P44&lt;&gt;"",IF(MAXIFS(Investment!$M:$M,Investment!$H:$H,LEFT($P44,30)&amp;"*"),MAXIFS(Investment!$M:$M,Investment!$H:$H,LEFT($P44,30)&amp;"*"),),)</f>
        <v/>
      </c>
      <c r="O44" s="158" t="str">
        <f>IF($P44&lt;&gt;"",IF(MAXIFS(Investment!$AH:$AH,Investment!$H:$H,LEFT($P44,30)&amp;"*"),MAXIFS(Investment!$AH:$AH,Investment!$H:$H,LEFT($P44,30)&amp;"*"),),)</f>
        <v/>
      </c>
      <c r="P44" s="141"/>
      <c r="Q44" s="145"/>
      <c r="R44" s="138"/>
    </row>
    <row r="45">
      <c r="A45" s="122">
        <v>43608.0</v>
      </c>
      <c r="B45" s="124" t="s">
        <v>268</v>
      </c>
      <c r="C45" s="124" t="s">
        <v>270</v>
      </c>
      <c r="D45" s="124" t="s">
        <v>319</v>
      </c>
      <c r="E45" s="125">
        <v>-251.0</v>
      </c>
      <c r="F45" s="126">
        <v>4.278</v>
      </c>
      <c r="G45" s="128">
        <v>1073.78</v>
      </c>
      <c r="H45" s="130" t="s">
        <v>456</v>
      </c>
      <c r="I45" s="138">
        <f t="shared" ref="I45:J45" si="47">IFS(AND($B45&lt;&gt;"",$E45&lt;&gt;""),IF(INDEX(N:N,MATCH($C45,$P:$P,0),1)&lt;&gt;"",$E45*INDEX(N:N,MATCH($C45,$P:$P,0),1)+$G45,""),AND($B45&lt;&gt;"",$D45="COST",$G45&lt;0),$G45,TRUE,)</f>
        <v>-17.066</v>
      </c>
      <c r="J45" s="138">
        <f t="shared" si="47"/>
        <v>74.19902168</v>
      </c>
      <c r="K45" s="141" t="str">
        <f t="shared" si="3"/>
        <v>iShares Treasury Bond 20+ UCITS</v>
      </c>
      <c r="L45" s="145">
        <f t="shared" si="4"/>
        <v>62993</v>
      </c>
      <c r="M45" s="148">
        <f t="shared" si="5"/>
        <v>-252853.59</v>
      </c>
      <c r="N45" s="155" t="str">
        <f>IF($P45&lt;&gt;"",IF(MAXIFS(Investment!$M:$M,Investment!$H:$H,LEFT($P45,30)&amp;"*"),MAXIFS(Investment!$M:$M,Investment!$H:$H,LEFT($P45,30)&amp;"*"),),)</f>
        <v/>
      </c>
      <c r="O45" s="158" t="str">
        <f>IF($P45&lt;&gt;"",IF(MAXIFS(Investment!$AH:$AH,Investment!$H:$H,LEFT($P45,30)&amp;"*"),MAXIFS(Investment!$AH:$AH,Investment!$H:$H,LEFT($P45,30)&amp;"*"),),)</f>
        <v/>
      </c>
      <c r="P45" s="141"/>
      <c r="Q45" s="145"/>
      <c r="R45" s="138"/>
    </row>
    <row r="46">
      <c r="A46" s="122">
        <v>43608.0</v>
      </c>
      <c r="B46" s="124" t="s">
        <v>268</v>
      </c>
      <c r="C46" s="124" t="s">
        <v>270</v>
      </c>
      <c r="D46" s="124" t="s">
        <v>378</v>
      </c>
      <c r="E46" s="125"/>
      <c r="F46" s="126"/>
      <c r="G46" s="128">
        <v>-2.21</v>
      </c>
      <c r="H46" s="130" t="s">
        <v>438</v>
      </c>
      <c r="I46" s="138">
        <f t="shared" ref="I46:J46" si="48">IFS(AND($B46&lt;&gt;"",$E46&lt;&gt;""),IF(INDEX(N:N,MATCH($C46,$P:$P,0),1)&lt;&gt;"",$E46*INDEX(N:N,MATCH($C46,$P:$P,0),1)+$G46,""),AND($B46&lt;&gt;"",$D46="COST",$G46&lt;0),$G46,TRUE,)</f>
        <v>-2.21</v>
      </c>
      <c r="J46" s="138">
        <f t="shared" si="48"/>
        <v>-2.21</v>
      </c>
      <c r="K46" s="141" t="str">
        <f t="shared" si="3"/>
        <v>iShares Treasury Bond 20+ UCITS</v>
      </c>
      <c r="L46" s="145">
        <f t="shared" si="4"/>
        <v>62993</v>
      </c>
      <c r="M46" s="148">
        <f t="shared" si="5"/>
        <v>-252853.59</v>
      </c>
      <c r="N46" s="155" t="str">
        <f>IF($P46&lt;&gt;"",IF(MAXIFS(Investment!$M:$M,Investment!$H:$H,LEFT($P46,30)&amp;"*"),MAXIFS(Investment!$M:$M,Investment!$H:$H,LEFT($P46,30)&amp;"*"),),)</f>
        <v/>
      </c>
      <c r="O46" s="158" t="str">
        <f>IF($P46&lt;&gt;"",IF(MAXIFS(Investment!$AH:$AH,Investment!$H:$H,LEFT($P46,30)&amp;"*"),MAXIFS(Investment!$AH:$AH,Investment!$H:$H,LEFT($P46,30)&amp;"*"),),)</f>
        <v/>
      </c>
      <c r="P46" s="141"/>
      <c r="Q46" s="145"/>
      <c r="R46" s="138"/>
    </row>
    <row r="47">
      <c r="A47" s="122">
        <v>43600.0</v>
      </c>
      <c r="B47" s="124" t="s">
        <v>364</v>
      </c>
      <c r="C47" s="124" t="s">
        <v>366</v>
      </c>
      <c r="D47" s="124" t="s">
        <v>319</v>
      </c>
      <c r="E47" s="125">
        <v>-6.0</v>
      </c>
      <c r="F47" s="126">
        <v>177.46</v>
      </c>
      <c r="G47" s="128">
        <v>1064.76</v>
      </c>
      <c r="H47" s="130" t="s">
        <v>463</v>
      </c>
      <c r="I47" s="138">
        <f t="shared" ref="I47:J47" si="49">IFS(AND($B47&lt;&gt;"",$E47&lt;&gt;""),IF(INDEX(N:N,MATCH($C47,$P:$P,0),1)&lt;&gt;"",$E47*INDEX(N:N,MATCH($C47,$P:$P,0),1)+$G47,""),AND($B47&lt;&gt;"",$D47="COST",$G47&lt;0),$G47,TRUE,)</f>
        <v>-0.24</v>
      </c>
      <c r="J47" s="138">
        <f t="shared" si="49"/>
        <v>58.16976563</v>
      </c>
      <c r="K47" s="141" t="str">
        <f t="shared" si="3"/>
        <v>iShares Treasury Bond 7-10 UCITS</v>
      </c>
      <c r="L47" s="145">
        <f t="shared" si="4"/>
        <v>597</v>
      </c>
      <c r="M47" s="148">
        <f t="shared" si="5"/>
        <v>-91106.6</v>
      </c>
      <c r="N47" s="155" t="str">
        <f>IF($P47&lt;&gt;"",IF(MAXIFS(Investment!$M:$M,Investment!$H:$H,LEFT($P47,30)&amp;"*"),MAXIFS(Investment!$M:$M,Investment!$H:$H,LEFT($P47,30)&amp;"*"),),)</f>
        <v/>
      </c>
      <c r="O47" s="158" t="str">
        <f>IF($P47&lt;&gt;"",IF(MAXIFS(Investment!$AH:$AH,Investment!$H:$H,LEFT($P47,30)&amp;"*"),MAXIFS(Investment!$AH:$AH,Investment!$H:$H,LEFT($P47,30)&amp;"*"),),)</f>
        <v/>
      </c>
      <c r="P47" s="141"/>
      <c r="Q47" s="145"/>
      <c r="R47" s="138"/>
    </row>
    <row r="48">
      <c r="A48" s="122">
        <v>43599.0</v>
      </c>
      <c r="B48" s="124" t="s">
        <v>328</v>
      </c>
      <c r="C48" s="124" t="s">
        <v>329</v>
      </c>
      <c r="D48" s="124" t="s">
        <v>330</v>
      </c>
      <c r="E48" s="125">
        <v>461.0</v>
      </c>
      <c r="F48" s="126">
        <v>7.13</v>
      </c>
      <c r="G48" s="128">
        <v>-3286.93</v>
      </c>
      <c r="H48" s="130" t="s">
        <v>470</v>
      </c>
      <c r="I48" s="138">
        <f t="shared" ref="I48:J48" si="50">IFS(AND($B48&lt;&gt;"",$E48&lt;&gt;""),IF(INDEX(N:N,MATCH($C48,$P:$P,0),1)&lt;&gt;"",$E48*INDEX(N:N,MATCH($C48,$P:$P,0),1)+$G48,""),AND($B48&lt;&gt;"",$D48="COST",$G48&lt;0),$G48,TRUE,)</f>
        <v>33.192</v>
      </c>
      <c r="J48" s="138">
        <f t="shared" si="50"/>
        <v>88.22207422</v>
      </c>
      <c r="K48" s="141" t="str">
        <f t="shared" si="3"/>
        <v>ETFS All Commodities ETC</v>
      </c>
      <c r="L48" s="145">
        <f t="shared" si="4"/>
        <v>11470</v>
      </c>
      <c r="M48" s="148">
        <f t="shared" si="5"/>
        <v>-83154.49</v>
      </c>
      <c r="N48" s="155" t="str">
        <f>IF($P48&lt;&gt;"",IF(MAXIFS(Investment!$M:$M,Investment!$H:$H,LEFT($P48,30)&amp;"*"),MAXIFS(Investment!$M:$M,Investment!$H:$H,LEFT($P48,30)&amp;"*"),),)</f>
        <v/>
      </c>
      <c r="O48" s="158" t="str">
        <f>IF($P48&lt;&gt;"",IF(MAXIFS(Investment!$AH:$AH,Investment!$H:$H,LEFT($P48,30)&amp;"*"),MAXIFS(Investment!$AH:$AH,Investment!$H:$H,LEFT($P48,30)&amp;"*"),),)</f>
        <v/>
      </c>
      <c r="P48" s="141"/>
      <c r="Q48" s="145"/>
      <c r="R48" s="138"/>
    </row>
    <row r="49">
      <c r="A49" s="200">
        <v>43598.0</v>
      </c>
      <c r="B49" s="202" t="s">
        <v>268</v>
      </c>
      <c r="C49" s="202" t="s">
        <v>270</v>
      </c>
      <c r="D49" s="202" t="s">
        <v>378</v>
      </c>
      <c r="E49" s="204"/>
      <c r="F49" s="206"/>
      <c r="G49" s="208">
        <v>-2.46</v>
      </c>
      <c r="H49" s="209" t="s">
        <v>379</v>
      </c>
      <c r="I49" s="168">
        <f t="shared" ref="I49:J49" si="51">IFS(AND($B49&lt;&gt;"",$E49&lt;&gt;""),IF(INDEX(N:N,MATCH($C49,$P:$P,0),1)&lt;&gt;"",$E49*INDEX(N:N,MATCH($C49,$P:$P,0),1)+$G49,""),AND($B49&lt;&gt;"",$D49="COST",$G49&lt;0),$G49,TRUE,)</f>
        <v>-2.46</v>
      </c>
      <c r="J49" s="168">
        <f t="shared" si="51"/>
        <v>-2.46</v>
      </c>
      <c r="K49" s="141" t="str">
        <f t="shared" si="3"/>
        <v>iShares Treasury Bond 20+ UCITS</v>
      </c>
      <c r="L49" s="145">
        <f t="shared" si="4"/>
        <v>62993</v>
      </c>
      <c r="M49" s="148">
        <f t="shared" si="5"/>
        <v>-252853.59</v>
      </c>
      <c r="N49" s="155" t="str">
        <f>IF($P49&lt;&gt;"",IF(MAXIFS(Investment!$M:$M,Investment!$H:$H,LEFT($P49,30)&amp;"*"),MAXIFS(Investment!$M:$M,Investment!$H:$H,LEFT($P49,30)&amp;"*"),),)</f>
        <v/>
      </c>
      <c r="O49" s="158" t="str">
        <f>IF($P49&lt;&gt;"",IF(MAXIFS(Investment!$AH:$AH,Investment!$H:$H,LEFT($P49,30)&amp;"*"),MAXIFS(Investment!$AH:$AH,Investment!$H:$H,LEFT($P49,30)&amp;"*"),),)</f>
        <v/>
      </c>
      <c r="P49" s="141"/>
      <c r="Q49" s="145"/>
      <c r="R49" s="138"/>
    </row>
    <row r="50">
      <c r="A50" s="214">
        <v>43598.0</v>
      </c>
      <c r="B50" s="216" t="s">
        <v>268</v>
      </c>
      <c r="C50" s="216" t="s">
        <v>270</v>
      </c>
      <c r="D50" s="216" t="s">
        <v>378</v>
      </c>
      <c r="E50" s="217"/>
      <c r="F50" s="218"/>
      <c r="G50" s="219">
        <v>-2.46</v>
      </c>
      <c r="H50" s="220" t="s">
        <v>379</v>
      </c>
      <c r="I50" s="194">
        <f t="shared" ref="I50:J50" si="52">IFS(AND($B50&lt;&gt;"",$E50&lt;&gt;""),IF(INDEX(N:N,MATCH($C50,$P:$P,0),1)&lt;&gt;"",$E50*INDEX(N:N,MATCH($C50,$P:$P,0),1)+$G50,""),AND($B50&lt;&gt;"",$D50="COST",$G50&lt;0),$G50,TRUE,)</f>
        <v>-2.46</v>
      </c>
      <c r="J50" s="194">
        <f t="shared" si="52"/>
        <v>-2.46</v>
      </c>
      <c r="K50" s="141" t="str">
        <f t="shared" si="3"/>
        <v>iShares Treasury Bond 20+ UCITS</v>
      </c>
      <c r="L50" s="145">
        <f t="shared" si="4"/>
        <v>62993</v>
      </c>
      <c r="M50" s="148">
        <f t="shared" si="5"/>
        <v>-252853.59</v>
      </c>
      <c r="N50" s="155" t="str">
        <f>IF($P50&lt;&gt;"",IF(MAXIFS(Investment!$M:$M,Investment!$H:$H,LEFT($P50,30)&amp;"*"),MAXIFS(Investment!$M:$M,Investment!$H:$H,LEFT($P50,30)&amp;"*"),),)</f>
        <v/>
      </c>
      <c r="O50" s="158" t="str">
        <f>IF($P50&lt;&gt;"",IF(MAXIFS(Investment!$AH:$AH,Investment!$H:$H,LEFT($P50,30)&amp;"*"),MAXIFS(Investment!$AH:$AH,Investment!$H:$H,LEFT($P50,30)&amp;"*"),),)</f>
        <v/>
      </c>
      <c r="P50" s="141"/>
      <c r="Q50" s="145"/>
      <c r="R50" s="138"/>
    </row>
    <row r="51">
      <c r="A51" s="122">
        <v>43598.0</v>
      </c>
      <c r="B51" s="124" t="s">
        <v>268</v>
      </c>
      <c r="C51" s="124" t="s">
        <v>270</v>
      </c>
      <c r="D51" s="124" t="s">
        <v>319</v>
      </c>
      <c r="E51" s="125">
        <v>-552.0</v>
      </c>
      <c r="F51" s="126">
        <v>4.2044</v>
      </c>
      <c r="G51" s="128">
        <v>2320.83</v>
      </c>
      <c r="H51" s="130" t="s">
        <v>480</v>
      </c>
      <c r="I51" s="138">
        <f t="shared" ref="I51:J51" si="53">IFS(AND($B51&lt;&gt;"",$E51&lt;&gt;""),IF(INDEX(N:N,MATCH($C51,$P:$P,0),1)&lt;&gt;"",$E51*INDEX(N:N,MATCH($C51,$P:$P,0),1)+$G51,""),AND($B51&lt;&gt;"",$D51="COST",$G51&lt;0),$G51,TRUE,)</f>
        <v>-78.162</v>
      </c>
      <c r="J51" s="138">
        <f t="shared" si="53"/>
        <v>122.5483266</v>
      </c>
      <c r="K51" s="141" t="str">
        <f t="shared" si="3"/>
        <v>iShares Treasury Bond 20+ UCITS</v>
      </c>
      <c r="L51" s="145">
        <f t="shared" si="4"/>
        <v>62993</v>
      </c>
      <c r="M51" s="148">
        <f t="shared" si="5"/>
        <v>-252853.59</v>
      </c>
      <c r="N51" s="155" t="str">
        <f>IF($P51&lt;&gt;"",IF(MAXIFS(Investment!$M:$M,Investment!$H:$H,LEFT($P51,30)&amp;"*"),MAXIFS(Investment!$M:$M,Investment!$H:$H,LEFT($P51,30)&amp;"*"),),)</f>
        <v/>
      </c>
      <c r="O51" s="158" t="str">
        <f>IF($P51&lt;&gt;"",IF(MAXIFS(Investment!$AH:$AH,Investment!$H:$H,LEFT($P51,30)&amp;"*"),MAXIFS(Investment!$AH:$AH,Investment!$H:$H,LEFT($P51,30)&amp;"*"),),)</f>
        <v/>
      </c>
      <c r="P51" s="141"/>
      <c r="Q51" s="145"/>
      <c r="R51" s="138"/>
    </row>
    <row r="52">
      <c r="A52" s="122">
        <v>43598.0</v>
      </c>
      <c r="B52" s="124" t="s">
        <v>268</v>
      </c>
      <c r="C52" s="124" t="s">
        <v>270</v>
      </c>
      <c r="D52" s="124" t="s">
        <v>378</v>
      </c>
      <c r="E52" s="125"/>
      <c r="F52" s="126"/>
      <c r="G52" s="128">
        <v>-2.46</v>
      </c>
      <c r="H52" s="130" t="s">
        <v>379</v>
      </c>
      <c r="I52" s="138">
        <f t="shared" ref="I52:J52" si="54">IFS(AND($B52&lt;&gt;"",$E52&lt;&gt;""),IF(INDEX(N:N,MATCH($C52,$P:$P,0),1)&lt;&gt;"",$E52*INDEX(N:N,MATCH($C52,$P:$P,0),1)+$G52,""),AND($B52&lt;&gt;"",$D52="COST",$G52&lt;0),$G52,TRUE,)</f>
        <v>-2.46</v>
      </c>
      <c r="J52" s="138">
        <f t="shared" si="54"/>
        <v>-2.46</v>
      </c>
      <c r="K52" s="141" t="str">
        <f t="shared" si="3"/>
        <v>iShares Treasury Bond 20+ UCITS</v>
      </c>
      <c r="L52" s="145">
        <f t="shared" si="4"/>
        <v>62993</v>
      </c>
      <c r="M52" s="148">
        <f t="shared" si="5"/>
        <v>-252853.59</v>
      </c>
      <c r="N52" s="155" t="str">
        <f>IF($P52&lt;&gt;"",IF(MAXIFS(Investment!$M:$M,Investment!$H:$H,LEFT($P52,30)&amp;"*"),MAXIFS(Investment!$M:$M,Investment!$H:$H,LEFT($P52,30)&amp;"*"),),)</f>
        <v/>
      </c>
      <c r="O52" s="158" t="str">
        <f>IF($P52&lt;&gt;"",IF(MAXIFS(Investment!$AH:$AH,Investment!$H:$H,LEFT($P52,30)&amp;"*"),MAXIFS(Investment!$AH:$AH,Investment!$H:$H,LEFT($P52,30)&amp;"*"),),)</f>
        <v/>
      </c>
      <c r="P52" s="141"/>
      <c r="Q52" s="145"/>
      <c r="R52" s="138"/>
    </row>
    <row r="53">
      <c r="A53" s="122">
        <v>43596.0</v>
      </c>
      <c r="B53" s="124"/>
      <c r="C53" s="124"/>
      <c r="D53" s="124" t="s">
        <v>312</v>
      </c>
      <c r="E53" s="125"/>
      <c r="F53" s="126"/>
      <c r="G53" s="128">
        <v>-500.0</v>
      </c>
      <c r="H53" s="130" t="s">
        <v>484</v>
      </c>
      <c r="I53" s="138" t="str">
        <f t="shared" ref="I53:J53" si="55">IFS(AND($B53&lt;&gt;"",$E53&lt;&gt;""),IF(INDEX(N:N,MATCH($C53,$P:$P,0),1)&lt;&gt;"",$E53*INDEX(N:N,MATCH($C53,$P:$P,0),1)+$G53,""),AND($B53&lt;&gt;"",$D53="COST",$G53&lt;0),$G53,TRUE,)</f>
        <v/>
      </c>
      <c r="J53" s="138" t="str">
        <f t="shared" si="55"/>
        <v/>
      </c>
      <c r="K53" s="141" t="str">
        <f t="shared" si="3"/>
        <v/>
      </c>
      <c r="L53" s="145" t="str">
        <f t="shared" si="4"/>
        <v/>
      </c>
      <c r="M53" s="148" t="str">
        <f t="shared" si="5"/>
        <v/>
      </c>
      <c r="N53" s="155" t="str">
        <f>IF($P53&lt;&gt;"",IF(MAXIFS(Investment!$M:$M,Investment!$H:$H,LEFT($P53,30)&amp;"*"),MAXIFS(Investment!$M:$M,Investment!$H:$H,LEFT($P53,30)&amp;"*"),),)</f>
        <v/>
      </c>
      <c r="O53" s="158" t="str">
        <f>IF($P53&lt;&gt;"",IF(MAXIFS(Investment!$AH:$AH,Investment!$H:$H,LEFT($P53,30)&amp;"*"),MAXIFS(Investment!$AH:$AH,Investment!$H:$H,LEFT($P53,30)&amp;"*"),),)</f>
        <v/>
      </c>
      <c r="P53" s="141"/>
      <c r="Q53" s="145"/>
      <c r="R53" s="138"/>
    </row>
    <row r="54">
      <c r="A54" s="122">
        <v>43593.0</v>
      </c>
      <c r="B54" s="124" t="s">
        <v>268</v>
      </c>
      <c r="C54" s="124" t="s">
        <v>270</v>
      </c>
      <c r="D54" s="124" t="s">
        <v>319</v>
      </c>
      <c r="E54" s="125">
        <v>-412.0</v>
      </c>
      <c r="F54" s="126">
        <v>4.2208</v>
      </c>
      <c r="G54" s="128">
        <v>1738.97</v>
      </c>
      <c r="H54" s="130" t="s">
        <v>489</v>
      </c>
      <c r="I54" s="138">
        <f t="shared" ref="I54:J54" si="56">IFS(AND($B54&lt;&gt;"",$E54&lt;&gt;""),IF(INDEX(N:N,MATCH($C54,$P:$P,0),1)&lt;&gt;"",$E54*INDEX(N:N,MATCH($C54,$P:$P,0),1)+$G54,""),AND($B54&lt;&gt;"",$D54="COST",$G54&lt;0),$G54,TRUE,)</f>
        <v>-51.582</v>
      </c>
      <c r="J54" s="138">
        <f t="shared" si="56"/>
        <v>98.22353359</v>
      </c>
      <c r="K54" s="141" t="str">
        <f t="shared" si="3"/>
        <v>iShares Treasury Bond 20+ UCITS</v>
      </c>
      <c r="L54" s="145">
        <f t="shared" si="4"/>
        <v>62993</v>
      </c>
      <c r="M54" s="148">
        <f t="shared" si="5"/>
        <v>-252853.59</v>
      </c>
      <c r="N54" s="155" t="str">
        <f>IF($P54&lt;&gt;"",IF(MAXIFS(Investment!$M:$M,Investment!$H:$H,LEFT($P54,30)&amp;"*"),MAXIFS(Investment!$M:$M,Investment!$H:$H,LEFT($P54,30)&amp;"*"),),)</f>
        <v/>
      </c>
      <c r="O54" s="158" t="str">
        <f>IF($P54&lt;&gt;"",IF(MAXIFS(Investment!$AH:$AH,Investment!$H:$H,LEFT($P54,30)&amp;"*"),MAXIFS(Investment!$AH:$AH,Investment!$H:$H,LEFT($P54,30)&amp;"*"),),)</f>
        <v/>
      </c>
      <c r="P54" s="141"/>
      <c r="Q54" s="145"/>
      <c r="R54" s="138"/>
    </row>
    <row r="55">
      <c r="A55" s="122">
        <v>43593.0</v>
      </c>
      <c r="B55" s="124" t="s">
        <v>268</v>
      </c>
      <c r="C55" s="124" t="s">
        <v>270</v>
      </c>
      <c r="D55" s="124" t="s">
        <v>378</v>
      </c>
      <c r="E55" s="125"/>
      <c r="F55" s="126"/>
      <c r="G55" s="128">
        <v>-2.35</v>
      </c>
      <c r="H55" s="130" t="s">
        <v>490</v>
      </c>
      <c r="I55" s="138">
        <f t="shared" ref="I55:J55" si="57">IFS(AND($B55&lt;&gt;"",$E55&lt;&gt;""),IF(INDEX(N:N,MATCH($C55,$P:$P,0),1)&lt;&gt;"",$E55*INDEX(N:N,MATCH($C55,$P:$P,0),1)+$G55,""),AND($B55&lt;&gt;"",$D55="COST",$G55&lt;0),$G55,TRUE,)</f>
        <v>-2.35</v>
      </c>
      <c r="J55" s="138">
        <f t="shared" si="57"/>
        <v>-2.35</v>
      </c>
      <c r="K55" s="141" t="str">
        <f t="shared" si="3"/>
        <v>iShares Treasury Bond 20+ UCITS</v>
      </c>
      <c r="L55" s="145">
        <f t="shared" si="4"/>
        <v>62993</v>
      </c>
      <c r="M55" s="148">
        <f t="shared" si="5"/>
        <v>-252853.59</v>
      </c>
      <c r="N55" s="155" t="str">
        <f>IF($P55&lt;&gt;"",IF(MAXIFS(Investment!$M:$M,Investment!$H:$H,LEFT($P55,30)&amp;"*"),MAXIFS(Investment!$M:$M,Investment!$H:$H,LEFT($P55,30)&amp;"*"),),)</f>
        <v/>
      </c>
      <c r="O55" s="158" t="str">
        <f>IF($P55&lt;&gt;"",IF(MAXIFS(Investment!$AH:$AH,Investment!$H:$H,LEFT($P55,30)&amp;"*"),MAXIFS(Investment!$AH:$AH,Investment!$H:$H,LEFT($P55,30)&amp;"*"),),)</f>
        <v/>
      </c>
      <c r="P55" s="141"/>
      <c r="Q55" s="145"/>
      <c r="R55" s="138"/>
    </row>
    <row r="56">
      <c r="A56" s="122">
        <v>43593.0</v>
      </c>
      <c r="B56" s="124" t="s">
        <v>364</v>
      </c>
      <c r="C56" s="124" t="s">
        <v>366</v>
      </c>
      <c r="D56" s="124" t="s">
        <v>319</v>
      </c>
      <c r="E56" s="125">
        <v>-7.0</v>
      </c>
      <c r="F56" s="126">
        <v>176.2</v>
      </c>
      <c r="G56" s="128">
        <v>1233.4</v>
      </c>
      <c r="H56" s="130" t="s">
        <v>495</v>
      </c>
      <c r="I56" s="138">
        <f t="shared" ref="I56:J56" si="58">IFS(AND($B56&lt;&gt;"",$E56&lt;&gt;""),IF(INDEX(N:N,MATCH($C56,$P:$P,0),1)&lt;&gt;"",$E56*INDEX(N:N,MATCH($C56,$P:$P,0),1)+$G56,""),AND($B56&lt;&gt;"",$D56="COST",$G56&lt;0),$G56,TRUE,)</f>
        <v>-9.1</v>
      </c>
      <c r="J56" s="138">
        <f t="shared" si="58"/>
        <v>59.04472656</v>
      </c>
      <c r="K56" s="141" t="str">
        <f t="shared" si="3"/>
        <v>iShares Treasury Bond 7-10 UCITS</v>
      </c>
      <c r="L56" s="145">
        <f t="shared" si="4"/>
        <v>597</v>
      </c>
      <c r="M56" s="148">
        <f t="shared" si="5"/>
        <v>-91106.6</v>
      </c>
      <c r="N56" s="155" t="str">
        <f>IF($P56&lt;&gt;"",IF(MAXIFS(Investment!$M:$M,Investment!$H:$H,LEFT($P56,30)&amp;"*"),MAXIFS(Investment!$M:$M,Investment!$H:$H,LEFT($P56,30)&amp;"*"),),)</f>
        <v/>
      </c>
      <c r="O56" s="158" t="str">
        <f>IF($P56&lt;&gt;"",IF(MAXIFS(Investment!$AH:$AH,Investment!$H:$H,LEFT($P56,30)&amp;"*"),MAXIFS(Investment!$AH:$AH,Investment!$H:$H,LEFT($P56,30)&amp;"*"),),)</f>
        <v/>
      </c>
      <c r="P56" s="141"/>
      <c r="Q56" s="145"/>
      <c r="R56" s="138"/>
    </row>
    <row r="57">
      <c r="A57" s="122">
        <v>43593.0</v>
      </c>
      <c r="B57" s="124" t="s">
        <v>268</v>
      </c>
      <c r="C57" s="124" t="s">
        <v>270</v>
      </c>
      <c r="D57" s="124" t="s">
        <v>319</v>
      </c>
      <c r="E57" s="125">
        <v>-388.0</v>
      </c>
      <c r="F57" s="126">
        <v>4.211</v>
      </c>
      <c r="G57" s="128">
        <v>1633.87</v>
      </c>
      <c r="H57" s="130" t="s">
        <v>498</v>
      </c>
      <c r="I57" s="138">
        <f t="shared" ref="I57:J57" si="59">IFS(AND($B57&lt;&gt;"",$E57&lt;&gt;""),IF(INDEX(N:N,MATCH($C57,$P:$P,0),1)&lt;&gt;"",$E57*INDEX(N:N,MATCH($C57,$P:$P,0),1)+$G57,""),AND($B57&lt;&gt;"",$D57="COST",$G57&lt;0),$G57,TRUE,)</f>
        <v>-52.378</v>
      </c>
      <c r="J57" s="138">
        <f t="shared" si="59"/>
        <v>88.70099766</v>
      </c>
      <c r="K57" s="141" t="str">
        <f t="shared" si="3"/>
        <v>iShares Treasury Bond 20+ UCITS</v>
      </c>
      <c r="L57" s="145">
        <f t="shared" si="4"/>
        <v>62993</v>
      </c>
      <c r="M57" s="148">
        <f t="shared" si="5"/>
        <v>-252853.59</v>
      </c>
      <c r="N57" s="155" t="str">
        <f>IF($P57&lt;&gt;"",IF(MAXIFS(Investment!$M:$M,Investment!$H:$H,LEFT($P57,30)&amp;"*"),MAXIFS(Investment!$M:$M,Investment!$H:$H,LEFT($P57,30)&amp;"*"),),)</f>
        <v/>
      </c>
      <c r="O57" s="158" t="str">
        <f>IF($P57&lt;&gt;"",IF(MAXIFS(Investment!$AH:$AH,Investment!$H:$H,LEFT($P57,30)&amp;"*"),MAXIFS(Investment!$AH:$AH,Investment!$H:$H,LEFT($P57,30)&amp;"*"),),)</f>
        <v/>
      </c>
      <c r="P57" s="141"/>
      <c r="Q57" s="145"/>
      <c r="R57" s="138"/>
    </row>
    <row r="58">
      <c r="A58" s="122">
        <v>43593.0</v>
      </c>
      <c r="B58" s="124" t="s">
        <v>268</v>
      </c>
      <c r="C58" s="124" t="s">
        <v>270</v>
      </c>
      <c r="D58" s="124" t="s">
        <v>378</v>
      </c>
      <c r="E58" s="125"/>
      <c r="F58" s="126"/>
      <c r="G58" s="128">
        <v>-2.33</v>
      </c>
      <c r="H58" s="130" t="s">
        <v>499</v>
      </c>
      <c r="I58" s="138">
        <f t="shared" ref="I58:J58" si="60">IFS(AND($B58&lt;&gt;"",$E58&lt;&gt;""),IF(INDEX(N:N,MATCH($C58,$P:$P,0),1)&lt;&gt;"",$E58*INDEX(N:N,MATCH($C58,$P:$P,0),1)+$G58,""),AND($B58&lt;&gt;"",$D58="COST",$G58&lt;0),$G58,TRUE,)</f>
        <v>-2.33</v>
      </c>
      <c r="J58" s="138">
        <f t="shared" si="60"/>
        <v>-2.33</v>
      </c>
      <c r="K58" s="141" t="str">
        <f t="shared" si="3"/>
        <v>iShares Treasury Bond 20+ UCITS</v>
      </c>
      <c r="L58" s="145">
        <f t="shared" si="4"/>
        <v>62993</v>
      </c>
      <c r="M58" s="148">
        <f t="shared" si="5"/>
        <v>-252853.59</v>
      </c>
      <c r="N58" s="155" t="str">
        <f>IF($P58&lt;&gt;"",IF(MAXIFS(Investment!$M:$M,Investment!$H:$H,LEFT($P58,30)&amp;"*"),MAXIFS(Investment!$M:$M,Investment!$H:$H,LEFT($P58,30)&amp;"*"),),)</f>
        <v/>
      </c>
      <c r="O58" s="158" t="str">
        <f>IF($P58&lt;&gt;"",IF(MAXIFS(Investment!$AH:$AH,Investment!$H:$H,LEFT($P58,30)&amp;"*"),MAXIFS(Investment!$AH:$AH,Investment!$H:$H,LEFT($P58,30)&amp;"*"),),)</f>
        <v/>
      </c>
      <c r="P58" s="141"/>
      <c r="Q58" s="145"/>
      <c r="R58" s="138"/>
    </row>
    <row r="59">
      <c r="A59" s="122">
        <v>43592.0</v>
      </c>
      <c r="B59" s="124" t="s">
        <v>268</v>
      </c>
      <c r="C59" s="124" t="s">
        <v>270</v>
      </c>
      <c r="D59" s="124" t="s">
        <v>319</v>
      </c>
      <c r="E59" s="125">
        <v>-277.0</v>
      </c>
      <c r="F59" s="126">
        <v>4.198</v>
      </c>
      <c r="G59" s="128">
        <v>1162.85</v>
      </c>
      <c r="H59" s="130" t="s">
        <v>503</v>
      </c>
      <c r="I59" s="138">
        <f t="shared" ref="I59:J59" si="61">IFS(AND($B59&lt;&gt;"",$E59&lt;&gt;""),IF(INDEX(N:N,MATCH($C59,$P:$P,0),1)&lt;&gt;"",$E59*INDEX(N:N,MATCH($C59,$P:$P,0),1)+$G59,""),AND($B59&lt;&gt;"",$D59="COST",$G59&lt;0),$G59,TRUE,)</f>
        <v>-40.992</v>
      </c>
      <c r="J59" s="138">
        <f t="shared" si="61"/>
        <v>59.72676895</v>
      </c>
      <c r="K59" s="141" t="str">
        <f t="shared" si="3"/>
        <v>iShares Treasury Bond 20+ UCITS</v>
      </c>
      <c r="L59" s="145">
        <f t="shared" si="4"/>
        <v>62993</v>
      </c>
      <c r="M59" s="148">
        <f t="shared" si="5"/>
        <v>-252853.59</v>
      </c>
      <c r="N59" s="155" t="str">
        <f>IF($P59&lt;&gt;"",IF(MAXIFS(Investment!$M:$M,Investment!$H:$H,LEFT($P59,30)&amp;"*"),MAXIFS(Investment!$M:$M,Investment!$H:$H,LEFT($P59,30)&amp;"*"),),)</f>
        <v/>
      </c>
      <c r="O59" s="158" t="str">
        <f>IF($P59&lt;&gt;"",IF(MAXIFS(Investment!$AH:$AH,Investment!$H:$H,LEFT($P59,30)&amp;"*"),MAXIFS(Investment!$AH:$AH,Investment!$H:$H,LEFT($P59,30)&amp;"*"),),)</f>
        <v/>
      </c>
      <c r="P59" s="141"/>
      <c r="Q59" s="145"/>
      <c r="R59" s="138"/>
    </row>
    <row r="60">
      <c r="A60" s="122">
        <v>43592.0</v>
      </c>
      <c r="B60" s="124" t="s">
        <v>268</v>
      </c>
      <c r="C60" s="124" t="s">
        <v>270</v>
      </c>
      <c r="D60" s="124" t="s">
        <v>378</v>
      </c>
      <c r="E60" s="125"/>
      <c r="F60" s="126"/>
      <c r="G60" s="128">
        <v>-2.23</v>
      </c>
      <c r="H60" s="130" t="s">
        <v>509</v>
      </c>
      <c r="I60" s="138">
        <f t="shared" ref="I60:J60" si="62">IFS(AND($B60&lt;&gt;"",$E60&lt;&gt;""),IF(INDEX(N:N,MATCH($C60,$P:$P,0),1)&lt;&gt;"",$E60*INDEX(N:N,MATCH($C60,$P:$P,0),1)+$G60,""),AND($B60&lt;&gt;"",$D60="COST",$G60&lt;0),$G60,TRUE,)</f>
        <v>-2.23</v>
      </c>
      <c r="J60" s="138">
        <f t="shared" si="62"/>
        <v>-2.23</v>
      </c>
      <c r="K60" s="141" t="str">
        <f t="shared" si="3"/>
        <v>iShares Treasury Bond 20+ UCITS</v>
      </c>
      <c r="L60" s="145">
        <f t="shared" si="4"/>
        <v>62993</v>
      </c>
      <c r="M60" s="148">
        <f t="shared" si="5"/>
        <v>-252853.59</v>
      </c>
      <c r="N60" s="155" t="str">
        <f>IF($P60&lt;&gt;"",IF(MAXIFS(Investment!$M:$M,Investment!$H:$H,LEFT($P60,30)&amp;"*"),MAXIFS(Investment!$M:$M,Investment!$H:$H,LEFT($P60,30)&amp;"*"),),)</f>
        <v/>
      </c>
      <c r="O60" s="158" t="str">
        <f>IF($P60&lt;&gt;"",IF(MAXIFS(Investment!$AH:$AH,Investment!$H:$H,LEFT($P60,30)&amp;"*"),MAXIFS(Investment!$AH:$AH,Investment!$H:$H,LEFT($P60,30)&amp;"*"),),)</f>
        <v/>
      </c>
      <c r="P60" s="141"/>
      <c r="Q60" s="145"/>
      <c r="R60" s="138"/>
    </row>
    <row r="61">
      <c r="A61" s="122">
        <v>43591.0</v>
      </c>
      <c r="B61" s="124" t="s">
        <v>364</v>
      </c>
      <c r="C61" s="124" t="s">
        <v>366</v>
      </c>
      <c r="D61" s="124" t="s">
        <v>319</v>
      </c>
      <c r="E61" s="125">
        <v>-6.0</v>
      </c>
      <c r="F61" s="126">
        <v>175.51</v>
      </c>
      <c r="G61" s="128">
        <v>1053.06</v>
      </c>
      <c r="H61" s="130" t="s">
        <v>510</v>
      </c>
      <c r="I61" s="138">
        <f t="shared" ref="I61:J61" si="63">IFS(AND($B61&lt;&gt;"",$E61&lt;&gt;""),IF(INDEX(N:N,MATCH($C61,$P:$P,0),1)&lt;&gt;"",$E61*INDEX(N:N,MATCH($C61,$P:$P,0),1)+$G61,""),AND($B61&lt;&gt;"",$D61="COST",$G61&lt;0),$G61,TRUE,)</f>
        <v>-11.94</v>
      </c>
      <c r="J61" s="138">
        <f t="shared" si="63"/>
        <v>46.46976563</v>
      </c>
      <c r="K61" s="141" t="str">
        <f t="shared" si="3"/>
        <v>iShares Treasury Bond 7-10 UCITS</v>
      </c>
      <c r="L61" s="145">
        <f t="shared" si="4"/>
        <v>597</v>
      </c>
      <c r="M61" s="148">
        <f t="shared" si="5"/>
        <v>-91106.6</v>
      </c>
      <c r="N61" s="155" t="str">
        <f>IF($P61&lt;&gt;"",IF(MAXIFS(Investment!$M:$M,Investment!$H:$H,LEFT($P61,30)&amp;"*"),MAXIFS(Investment!$M:$M,Investment!$H:$H,LEFT($P61,30)&amp;"*"),),)</f>
        <v/>
      </c>
      <c r="O61" s="158" t="str">
        <f>IF($P61&lt;&gt;"",IF(MAXIFS(Investment!$AH:$AH,Investment!$H:$H,LEFT($P61,30)&amp;"*"),MAXIFS(Investment!$AH:$AH,Investment!$H:$H,LEFT($P61,30)&amp;"*"),),)</f>
        <v/>
      </c>
      <c r="P61" s="141"/>
      <c r="Q61" s="145"/>
      <c r="R61" s="138"/>
    </row>
    <row r="62">
      <c r="A62" s="122">
        <v>43591.0</v>
      </c>
      <c r="B62" s="124" t="s">
        <v>268</v>
      </c>
      <c r="C62" s="124" t="s">
        <v>270</v>
      </c>
      <c r="D62" s="124" t="s">
        <v>319</v>
      </c>
      <c r="E62" s="125">
        <v>-925.0</v>
      </c>
      <c r="F62" s="126">
        <v>4.1872</v>
      </c>
      <c r="G62" s="128">
        <v>3873.16</v>
      </c>
      <c r="H62" s="130" t="s">
        <v>514</v>
      </c>
      <c r="I62" s="138">
        <f t="shared" ref="I62:J62" si="64">IFS(AND($B62&lt;&gt;"",$E62&lt;&gt;""),IF(INDEX(N:N,MATCH($C62,$P:$P,0),1)&lt;&gt;"",$E62*INDEX(N:N,MATCH($C62,$P:$P,0),1)+$G62,""),AND($B62&lt;&gt;"",$D62="COST",$G62&lt;0),$G62,TRUE,)</f>
        <v>-146.89</v>
      </c>
      <c r="J62" s="138">
        <f t="shared" si="64"/>
        <v>189.4452393</v>
      </c>
      <c r="K62" s="141" t="str">
        <f t="shared" si="3"/>
        <v>iShares Treasury Bond 20+ UCITS</v>
      </c>
      <c r="L62" s="145">
        <f t="shared" si="4"/>
        <v>62993</v>
      </c>
      <c r="M62" s="148">
        <f t="shared" si="5"/>
        <v>-252853.59</v>
      </c>
      <c r="N62" s="155" t="str">
        <f>IF($P62&lt;&gt;"",IF(MAXIFS(Investment!$M:$M,Investment!$H:$H,LEFT($P62,30)&amp;"*"),MAXIFS(Investment!$M:$M,Investment!$H:$H,LEFT($P62,30)&amp;"*"),),)</f>
        <v/>
      </c>
      <c r="O62" s="158" t="str">
        <f>IF($P62&lt;&gt;"",IF(MAXIFS(Investment!$AH:$AH,Investment!$H:$H,LEFT($P62,30)&amp;"*"),MAXIFS(Investment!$AH:$AH,Investment!$H:$H,LEFT($P62,30)&amp;"*"),),)</f>
        <v/>
      </c>
      <c r="P62" s="141"/>
      <c r="Q62" s="145"/>
      <c r="R62" s="138"/>
    </row>
    <row r="63">
      <c r="A63" s="122">
        <v>43591.0</v>
      </c>
      <c r="B63" s="124" t="s">
        <v>268</v>
      </c>
      <c r="C63" s="124" t="s">
        <v>270</v>
      </c>
      <c r="D63" s="124" t="s">
        <v>378</v>
      </c>
      <c r="E63" s="125"/>
      <c r="F63" s="126"/>
      <c r="G63" s="128">
        <v>-2.77</v>
      </c>
      <c r="H63" s="130" t="s">
        <v>517</v>
      </c>
      <c r="I63" s="138">
        <f t="shared" ref="I63:J63" si="65">IFS(AND($B63&lt;&gt;"",$E63&lt;&gt;""),IF(INDEX(N:N,MATCH($C63,$P:$P,0),1)&lt;&gt;"",$E63*INDEX(N:N,MATCH($C63,$P:$P,0),1)+$G63,""),AND($B63&lt;&gt;"",$D63="COST",$G63&lt;0),$G63,TRUE,)</f>
        <v>-2.77</v>
      </c>
      <c r="J63" s="138">
        <f t="shared" si="65"/>
        <v>-2.77</v>
      </c>
      <c r="K63" s="141" t="str">
        <f t="shared" si="3"/>
        <v>iShares Treasury Bond 20+ UCITS</v>
      </c>
      <c r="L63" s="145">
        <f t="shared" si="4"/>
        <v>62993</v>
      </c>
      <c r="M63" s="148">
        <f t="shared" si="5"/>
        <v>-252853.59</v>
      </c>
      <c r="N63" s="155" t="str">
        <f>IF($P63&lt;&gt;"",IF(MAXIFS(Investment!$M:$M,Investment!$H:$H,LEFT($P63,30)&amp;"*"),MAXIFS(Investment!$M:$M,Investment!$H:$H,LEFT($P63,30)&amp;"*"),),)</f>
        <v/>
      </c>
      <c r="O63" s="158" t="str">
        <f>IF($P63&lt;&gt;"",IF(MAXIFS(Investment!$AH:$AH,Investment!$H:$H,LEFT($P63,30)&amp;"*"),MAXIFS(Investment!$AH:$AH,Investment!$H:$H,LEFT($P63,30)&amp;"*"),),)</f>
        <v/>
      </c>
      <c r="P63" s="141"/>
      <c r="Q63" s="145"/>
      <c r="R63" s="138"/>
    </row>
    <row r="64">
      <c r="A64" s="200">
        <v>43588.0</v>
      </c>
      <c r="B64" s="202"/>
      <c r="C64" s="202"/>
      <c r="D64" s="202" t="s">
        <v>312</v>
      </c>
      <c r="E64" s="204"/>
      <c r="F64" s="206"/>
      <c r="G64" s="208">
        <v>-500.0</v>
      </c>
      <c r="H64" s="209" t="s">
        <v>484</v>
      </c>
      <c r="I64" s="168" t="str">
        <f t="shared" ref="I64:J64" si="66">IFS(AND($B64&lt;&gt;"",$E64&lt;&gt;""),IF(INDEX(N:N,MATCH($C64,$P:$P,0),1)&lt;&gt;"",$E64*INDEX(N:N,MATCH($C64,$P:$P,0),1)+$G64,""),AND($B64&lt;&gt;"",$D64="COST",$G64&lt;0),$G64,TRUE,)</f>
        <v/>
      </c>
      <c r="J64" s="168" t="str">
        <f t="shared" si="66"/>
        <v/>
      </c>
      <c r="K64" s="141" t="str">
        <f t="shared" si="3"/>
        <v/>
      </c>
      <c r="L64" s="145" t="str">
        <f t="shared" si="4"/>
        <v/>
      </c>
      <c r="M64" s="148" t="str">
        <f t="shared" si="5"/>
        <v/>
      </c>
      <c r="N64" s="155" t="str">
        <f>IF($P64&lt;&gt;"",IF(MAXIFS(Investment!$M:$M,Investment!$H:$H,LEFT($P64,30)&amp;"*"),MAXIFS(Investment!$M:$M,Investment!$H:$H,LEFT($P64,30)&amp;"*"),),)</f>
        <v/>
      </c>
      <c r="O64" s="158" t="str">
        <f>IF($P64&lt;&gt;"",IF(MAXIFS(Investment!$AH:$AH,Investment!$H:$H,LEFT($P64,30)&amp;"*"),MAXIFS(Investment!$AH:$AH,Investment!$H:$H,LEFT($P64,30)&amp;"*"),),)</f>
        <v/>
      </c>
      <c r="P64" s="141"/>
      <c r="Q64" s="145"/>
      <c r="R64" s="138"/>
    </row>
    <row r="65">
      <c r="A65" s="200">
        <v>43588.0</v>
      </c>
      <c r="B65" s="202" t="s">
        <v>268</v>
      </c>
      <c r="C65" s="202" t="s">
        <v>270</v>
      </c>
      <c r="D65" s="202" t="s">
        <v>378</v>
      </c>
      <c r="E65" s="204"/>
      <c r="F65" s="206"/>
      <c r="G65" s="208">
        <v>-2.25</v>
      </c>
      <c r="H65" s="209" t="s">
        <v>452</v>
      </c>
      <c r="I65" s="168">
        <f t="shared" ref="I65:J65" si="67">IFS(AND($B65&lt;&gt;"",$E65&lt;&gt;""),IF(INDEX(N:N,MATCH($C65,$P:$P,0),1)&lt;&gt;"",$E65*INDEX(N:N,MATCH($C65,$P:$P,0),1)+$G65,""),AND($B65&lt;&gt;"",$D65="COST",$G65&lt;0),$G65,TRUE,)</f>
        <v>-2.25</v>
      </c>
      <c r="J65" s="168">
        <f t="shared" si="67"/>
        <v>-2.25</v>
      </c>
      <c r="K65" s="141" t="str">
        <f t="shared" si="3"/>
        <v>iShares Treasury Bond 20+ UCITS</v>
      </c>
      <c r="L65" s="145">
        <f t="shared" si="4"/>
        <v>62993</v>
      </c>
      <c r="M65" s="148">
        <f t="shared" si="5"/>
        <v>-252853.59</v>
      </c>
      <c r="N65" s="155" t="str">
        <f>IF($P65&lt;&gt;"",IF(MAXIFS(Investment!$M:$M,Investment!$H:$H,LEFT($P65,30)&amp;"*"),MAXIFS(Investment!$M:$M,Investment!$H:$H,LEFT($P65,30)&amp;"*"),),)</f>
        <v/>
      </c>
      <c r="O65" s="158" t="str">
        <f>IF($P65&lt;&gt;"",IF(MAXIFS(Investment!$AH:$AH,Investment!$H:$H,LEFT($P65,30)&amp;"*"),MAXIFS(Investment!$AH:$AH,Investment!$H:$H,LEFT($P65,30)&amp;"*"),),)</f>
        <v/>
      </c>
      <c r="P65" s="141"/>
      <c r="Q65" s="145"/>
      <c r="R65" s="138"/>
    </row>
    <row r="66">
      <c r="A66" s="214">
        <v>43588.0</v>
      </c>
      <c r="B66" s="216"/>
      <c r="C66" s="216"/>
      <c r="D66" s="216" t="s">
        <v>312</v>
      </c>
      <c r="E66" s="217"/>
      <c r="F66" s="218"/>
      <c r="G66" s="219">
        <v>-500.0</v>
      </c>
      <c r="H66" s="220" t="s">
        <v>484</v>
      </c>
      <c r="I66" s="194" t="str">
        <f t="shared" ref="I66:J66" si="68">IFS(AND($B66&lt;&gt;"",$E66&lt;&gt;""),IF(INDEX(N:N,MATCH($C66,$P:$P,0),1)&lt;&gt;"",$E66*INDEX(N:N,MATCH($C66,$P:$P,0),1)+$G66,""),AND($B66&lt;&gt;"",$D66="COST",$G66&lt;0),$G66,TRUE,)</f>
        <v/>
      </c>
      <c r="J66" s="194" t="str">
        <f t="shared" si="68"/>
        <v/>
      </c>
      <c r="K66" s="141" t="str">
        <f t="shared" si="3"/>
        <v/>
      </c>
      <c r="L66" s="145" t="str">
        <f t="shared" si="4"/>
        <v/>
      </c>
      <c r="M66" s="148" t="str">
        <f t="shared" si="5"/>
        <v/>
      </c>
      <c r="N66" s="155" t="str">
        <f>IF($P66&lt;&gt;"",IF(MAXIFS(Investment!$M:$M,Investment!$H:$H,LEFT($P66,30)&amp;"*"),MAXIFS(Investment!$M:$M,Investment!$H:$H,LEFT($P66,30)&amp;"*"),),)</f>
        <v/>
      </c>
      <c r="O66" s="158" t="str">
        <f>IF($P66&lt;&gt;"",IF(MAXIFS(Investment!$AH:$AH,Investment!$H:$H,LEFT($P66,30)&amp;"*"),MAXIFS(Investment!$AH:$AH,Investment!$H:$H,LEFT($P66,30)&amp;"*"),),)</f>
        <v/>
      </c>
      <c r="P66" s="141"/>
      <c r="Q66" s="145"/>
      <c r="R66" s="138"/>
    </row>
    <row r="67">
      <c r="A67" s="214">
        <v>43588.0</v>
      </c>
      <c r="B67" s="216" t="s">
        <v>268</v>
      </c>
      <c r="C67" s="216" t="s">
        <v>270</v>
      </c>
      <c r="D67" s="216" t="s">
        <v>378</v>
      </c>
      <c r="E67" s="217"/>
      <c r="F67" s="218"/>
      <c r="G67" s="219">
        <v>-2.25</v>
      </c>
      <c r="H67" s="220" t="s">
        <v>452</v>
      </c>
      <c r="I67" s="194">
        <f t="shared" ref="I67:J67" si="69">IFS(AND($B67&lt;&gt;"",$E67&lt;&gt;""),IF(INDEX(N:N,MATCH($C67,$P:$P,0),1)&lt;&gt;"",$E67*INDEX(N:N,MATCH($C67,$P:$P,0),1)+$G67,""),AND($B67&lt;&gt;"",$D67="COST",$G67&lt;0),$G67,TRUE,)</f>
        <v>-2.25</v>
      </c>
      <c r="J67" s="194">
        <f t="shared" si="69"/>
        <v>-2.25</v>
      </c>
      <c r="K67" s="141" t="str">
        <f t="shared" si="3"/>
        <v>iShares Treasury Bond 20+ UCITS</v>
      </c>
      <c r="L67" s="145">
        <f t="shared" si="4"/>
        <v>62993</v>
      </c>
      <c r="M67" s="148">
        <f t="shared" si="5"/>
        <v>-252853.59</v>
      </c>
      <c r="N67" s="155" t="str">
        <f>IF($P67&lt;&gt;"",IF(MAXIFS(Investment!$M:$M,Investment!$H:$H,LEFT($P67,30)&amp;"*"),MAXIFS(Investment!$M:$M,Investment!$H:$H,LEFT($P67,30)&amp;"*"),),)</f>
        <v/>
      </c>
      <c r="O67" s="158" t="str">
        <f>IF($P67&lt;&gt;"",IF(MAXIFS(Investment!$AH:$AH,Investment!$H:$H,LEFT($P67,30)&amp;"*"),MAXIFS(Investment!$AH:$AH,Investment!$H:$H,LEFT($P67,30)&amp;"*"),),)</f>
        <v/>
      </c>
      <c r="P67" s="141"/>
      <c r="Q67" s="145"/>
      <c r="R67" s="138"/>
    </row>
    <row r="68">
      <c r="A68" s="122">
        <v>43588.0</v>
      </c>
      <c r="B68" s="124"/>
      <c r="C68" s="124"/>
      <c r="D68" s="124" t="s">
        <v>378</v>
      </c>
      <c r="E68" s="125"/>
      <c r="F68" s="126"/>
      <c r="G68" s="128">
        <v>-547.92</v>
      </c>
      <c r="H68" s="130" t="s">
        <v>525</v>
      </c>
      <c r="I68" s="138" t="str">
        <f t="shared" ref="I68:J68" si="70">IFS(AND($B68&lt;&gt;"",$E68&lt;&gt;""),IF(INDEX(N:N,MATCH($C68,$P:$P,0),1)&lt;&gt;"",$E68*INDEX(N:N,MATCH($C68,$P:$P,0),1)+$G68,""),AND($B68&lt;&gt;"",$D68="COST",$G68&lt;0),$G68,TRUE,)</f>
        <v/>
      </c>
      <c r="J68" s="138" t="str">
        <f t="shared" si="70"/>
        <v/>
      </c>
      <c r="K68" s="141" t="str">
        <f t="shared" si="3"/>
        <v/>
      </c>
      <c r="L68" s="145" t="str">
        <f t="shared" si="4"/>
        <v/>
      </c>
      <c r="M68" s="148" t="str">
        <f t="shared" si="5"/>
        <v/>
      </c>
      <c r="N68" s="155" t="str">
        <f>IF($P68&lt;&gt;"",IF(MAXIFS(Investment!$M:$M,Investment!$H:$H,LEFT($P68,30)&amp;"*"),MAXIFS(Investment!$M:$M,Investment!$H:$H,LEFT($P68,30)&amp;"*"),),)</f>
        <v/>
      </c>
      <c r="O68" s="158" t="str">
        <f>IF($P68&lt;&gt;"",IF(MAXIFS(Investment!$AH:$AH,Investment!$H:$H,LEFT($P68,30)&amp;"*"),MAXIFS(Investment!$AH:$AH,Investment!$H:$H,LEFT($P68,30)&amp;"*"),),)</f>
        <v/>
      </c>
      <c r="P68" s="141"/>
      <c r="Q68" s="145"/>
      <c r="R68" s="138"/>
    </row>
    <row r="69">
      <c r="A69" s="122">
        <v>43588.0</v>
      </c>
      <c r="B69" s="124"/>
      <c r="C69" s="124"/>
      <c r="D69" s="124" t="s">
        <v>312</v>
      </c>
      <c r="E69" s="125"/>
      <c r="F69" s="126"/>
      <c r="G69" s="128">
        <v>-500.0</v>
      </c>
      <c r="H69" s="130" t="s">
        <v>484</v>
      </c>
      <c r="I69" s="138" t="str">
        <f t="shared" ref="I69:J69" si="71">IFS(AND($B69&lt;&gt;"",$E69&lt;&gt;""),IF(INDEX(N:N,MATCH($C69,$P:$P,0),1)&lt;&gt;"",$E69*INDEX(N:N,MATCH($C69,$P:$P,0),1)+$G69,""),AND($B69&lt;&gt;"",$D69="COST",$G69&lt;0),$G69,TRUE,)</f>
        <v/>
      </c>
      <c r="J69" s="138" t="str">
        <f t="shared" si="71"/>
        <v/>
      </c>
      <c r="K69" s="141" t="str">
        <f t="shared" si="3"/>
        <v/>
      </c>
      <c r="L69" s="145" t="str">
        <f t="shared" si="4"/>
        <v/>
      </c>
      <c r="M69" s="148" t="str">
        <f t="shared" si="5"/>
        <v/>
      </c>
      <c r="N69" s="155" t="str">
        <f>IF($P69&lt;&gt;"",IF(MAXIFS(Investment!$M:$M,Investment!$H:$H,LEFT($P69,30)&amp;"*"),MAXIFS(Investment!$M:$M,Investment!$H:$H,LEFT($P69,30)&amp;"*"),),)</f>
        <v/>
      </c>
      <c r="O69" s="158" t="str">
        <f>IF($P69&lt;&gt;"",IF(MAXIFS(Investment!$AH:$AH,Investment!$H:$H,LEFT($P69,30)&amp;"*"),MAXIFS(Investment!$AH:$AH,Investment!$H:$H,LEFT($P69,30)&amp;"*"),),)</f>
        <v/>
      </c>
      <c r="P69" s="141"/>
      <c r="Q69" s="145"/>
      <c r="R69" s="138"/>
    </row>
    <row r="70">
      <c r="A70" s="122">
        <v>43588.0</v>
      </c>
      <c r="B70" s="124"/>
      <c r="C70" s="124"/>
      <c r="D70" s="124" t="s">
        <v>378</v>
      </c>
      <c r="E70" s="125"/>
      <c r="F70" s="126"/>
      <c r="G70" s="128">
        <v>-2.5</v>
      </c>
      <c r="H70" s="130" t="s">
        <v>531</v>
      </c>
      <c r="I70" s="138" t="str">
        <f t="shared" ref="I70:J70" si="72">IFS(AND($B70&lt;&gt;"",$E70&lt;&gt;""),IF(INDEX(N:N,MATCH($C70,$P:$P,0),1)&lt;&gt;"",$E70*INDEX(N:N,MATCH($C70,$P:$P,0),1)+$G70,""),AND($B70&lt;&gt;"",$D70="COST",$G70&lt;0),$G70,TRUE,)</f>
        <v/>
      </c>
      <c r="J70" s="138" t="str">
        <f t="shared" si="72"/>
        <v/>
      </c>
      <c r="K70" s="141" t="str">
        <f t="shared" si="3"/>
        <v/>
      </c>
      <c r="L70" s="145" t="str">
        <f t="shared" si="4"/>
        <v/>
      </c>
      <c r="M70" s="148" t="str">
        <f t="shared" si="5"/>
        <v/>
      </c>
      <c r="N70" s="155" t="str">
        <f>IF($P70&lt;&gt;"",IF(MAXIFS(Investment!$M:$M,Investment!$H:$H,LEFT($P70,30)&amp;"*"),MAXIFS(Investment!$M:$M,Investment!$H:$H,LEFT($P70,30)&amp;"*"),),)</f>
        <v/>
      </c>
      <c r="O70" s="158" t="str">
        <f>IF($P70&lt;&gt;"",IF(MAXIFS(Investment!$AH:$AH,Investment!$H:$H,LEFT($P70,30)&amp;"*"),MAXIFS(Investment!$AH:$AH,Investment!$H:$H,LEFT($P70,30)&amp;"*"),),)</f>
        <v/>
      </c>
      <c r="P70" s="141"/>
      <c r="Q70" s="145"/>
      <c r="R70" s="138"/>
    </row>
    <row r="71">
      <c r="A71" s="122">
        <v>43588.0</v>
      </c>
      <c r="B71" s="124" t="s">
        <v>268</v>
      </c>
      <c r="C71" s="124" t="s">
        <v>270</v>
      </c>
      <c r="D71" s="124" t="s">
        <v>319</v>
      </c>
      <c r="E71" s="125">
        <v>-295.0</v>
      </c>
      <c r="F71" s="126">
        <v>4.1686</v>
      </c>
      <c r="G71" s="128">
        <v>1229.74</v>
      </c>
      <c r="H71" s="130" t="s">
        <v>532</v>
      </c>
      <c r="I71" s="138">
        <f t="shared" ref="I71:J71" si="73">IFS(AND($B71&lt;&gt;"",$E71&lt;&gt;""),IF(INDEX(N:N,MATCH($C71,$P:$P,0),1)&lt;&gt;"",$E71*INDEX(N:N,MATCH($C71,$P:$P,0),1)+$G71,""),AND($B71&lt;&gt;"",$D71="COST",$G71&lt;0),$G71,TRUE,)</f>
        <v>-52.33</v>
      </c>
      <c r="J71" s="138">
        <f t="shared" si="73"/>
        <v>54.9336709</v>
      </c>
      <c r="K71" s="141" t="str">
        <f t="shared" si="3"/>
        <v>iShares Treasury Bond 20+ UCITS</v>
      </c>
      <c r="L71" s="145">
        <f t="shared" si="4"/>
        <v>62993</v>
      </c>
      <c r="M71" s="148">
        <f t="shared" si="5"/>
        <v>-252853.59</v>
      </c>
      <c r="N71" s="155" t="str">
        <f>IF($P71&lt;&gt;"",IF(MAXIFS(Investment!$M:$M,Investment!$H:$H,LEFT($P71,30)&amp;"*"),MAXIFS(Investment!$M:$M,Investment!$H:$H,LEFT($P71,30)&amp;"*"),),)</f>
        <v/>
      </c>
      <c r="O71" s="158" t="str">
        <f>IF($P71&lt;&gt;"",IF(MAXIFS(Investment!$AH:$AH,Investment!$H:$H,LEFT($P71,30)&amp;"*"),MAXIFS(Investment!$AH:$AH,Investment!$H:$H,LEFT($P71,30)&amp;"*"),),)</f>
        <v/>
      </c>
      <c r="P71" s="141"/>
      <c r="Q71" s="145"/>
      <c r="R71" s="138"/>
    </row>
    <row r="72">
      <c r="A72" s="122">
        <v>43588.0</v>
      </c>
      <c r="B72" s="124" t="s">
        <v>268</v>
      </c>
      <c r="C72" s="124" t="s">
        <v>270</v>
      </c>
      <c r="D72" s="124" t="s">
        <v>378</v>
      </c>
      <c r="E72" s="125"/>
      <c r="F72" s="126"/>
      <c r="G72" s="128">
        <v>-2.25</v>
      </c>
      <c r="H72" s="130" t="s">
        <v>452</v>
      </c>
      <c r="I72" s="138">
        <f t="shared" ref="I72:J72" si="74">IFS(AND($B72&lt;&gt;"",$E72&lt;&gt;""),IF(INDEX(N:N,MATCH($C72,$P:$P,0),1)&lt;&gt;"",$E72*INDEX(N:N,MATCH($C72,$P:$P,0),1)+$G72,""),AND($B72&lt;&gt;"",$D72="COST",$G72&lt;0),$G72,TRUE,)</f>
        <v>-2.25</v>
      </c>
      <c r="J72" s="138">
        <f t="shared" si="74"/>
        <v>-2.25</v>
      </c>
      <c r="K72" s="141" t="str">
        <f t="shared" si="3"/>
        <v>iShares Treasury Bond 20+ UCITS</v>
      </c>
      <c r="L72" s="145">
        <f t="shared" si="4"/>
        <v>62993</v>
      </c>
      <c r="M72" s="148">
        <f t="shared" si="5"/>
        <v>-252853.59</v>
      </c>
      <c r="N72" s="155" t="str">
        <f>IF($P72&lt;&gt;"",IF(MAXIFS(Investment!$M:$M,Investment!$H:$H,LEFT($P72,30)&amp;"*"),MAXIFS(Investment!$M:$M,Investment!$H:$H,LEFT($P72,30)&amp;"*"),),)</f>
        <v/>
      </c>
      <c r="O72" s="158" t="str">
        <f>IF($P72&lt;&gt;"",IF(MAXIFS(Investment!$AH:$AH,Investment!$H:$H,LEFT($P72,30)&amp;"*"),MAXIFS(Investment!$AH:$AH,Investment!$H:$H,LEFT($P72,30)&amp;"*"),),)</f>
        <v/>
      </c>
      <c r="P72" s="141"/>
      <c r="Q72" s="145"/>
      <c r="R72" s="138"/>
    </row>
    <row r="73">
      <c r="A73" s="122">
        <v>43584.0</v>
      </c>
      <c r="B73" s="124" t="s">
        <v>343</v>
      </c>
      <c r="C73" s="124" t="s">
        <v>344</v>
      </c>
      <c r="D73" s="124" t="s">
        <v>319</v>
      </c>
      <c r="E73" s="125">
        <v>-25.0</v>
      </c>
      <c r="F73" s="126">
        <v>50.092</v>
      </c>
      <c r="G73" s="128">
        <v>1252.3</v>
      </c>
      <c r="H73" s="130" t="s">
        <v>539</v>
      </c>
      <c r="I73" s="138">
        <f t="shared" ref="I73:J73" si="75">IFS(AND($B73&lt;&gt;"",$E73&lt;&gt;""),IF(INDEX(N:N,MATCH($C73,$P:$P,0),1)&lt;&gt;"",$E73*INDEX(N:N,MATCH($C73,$P:$P,0),1)+$G73,""),AND($B73&lt;&gt;"",$D73="COST",$G73&lt;0),$G73,TRUE,)</f>
        <v>34.775</v>
      </c>
      <c r="J73" s="138">
        <f t="shared" si="75"/>
        <v>92.06953125</v>
      </c>
      <c r="K73" s="141" t="str">
        <f t="shared" si="3"/>
        <v>Vanguard S&amp;P 500 UCITS</v>
      </c>
      <c r="L73" s="145">
        <f t="shared" si="4"/>
        <v>4293</v>
      </c>
      <c r="M73" s="148">
        <f t="shared" si="5"/>
        <v>-183260.93</v>
      </c>
      <c r="N73" s="155" t="str">
        <f>IF($P73&lt;&gt;"",IF(MAXIFS(Investment!$M:$M,Investment!$H:$H,LEFT($P73,30)&amp;"*"),MAXIFS(Investment!$M:$M,Investment!$H:$H,LEFT($P73,30)&amp;"*"),),)</f>
        <v/>
      </c>
      <c r="O73" s="158" t="str">
        <f>IF($P73&lt;&gt;"",IF(MAXIFS(Investment!$AH:$AH,Investment!$H:$H,LEFT($P73,30)&amp;"*"),MAXIFS(Investment!$AH:$AH,Investment!$H:$H,LEFT($P73,30)&amp;"*"),),)</f>
        <v/>
      </c>
      <c r="P73" s="141"/>
      <c r="Q73" s="145"/>
      <c r="R73" s="138"/>
    </row>
    <row r="74">
      <c r="A74" s="122">
        <v>43580.0</v>
      </c>
      <c r="B74" s="124" t="s">
        <v>268</v>
      </c>
      <c r="C74" s="124" t="s">
        <v>270</v>
      </c>
      <c r="D74" s="124" t="s">
        <v>319</v>
      </c>
      <c r="E74" s="125">
        <v>-544.0</v>
      </c>
      <c r="F74" s="126">
        <v>4.1629</v>
      </c>
      <c r="G74" s="128">
        <v>2264.67</v>
      </c>
      <c r="H74" s="130" t="s">
        <v>543</v>
      </c>
      <c r="I74" s="138">
        <f t="shared" ref="I74:J74" si="76">IFS(AND($B74&lt;&gt;"",$E74&lt;&gt;""),IF(INDEX(N:N,MATCH($C74,$P:$P,0),1)&lt;&gt;"",$E74*INDEX(N:N,MATCH($C74,$P:$P,0),1)+$G74,""),AND($B74&lt;&gt;"",$D74="COST",$G74&lt;0),$G74,TRUE,)</f>
        <v>-99.554</v>
      </c>
      <c r="J74" s="138">
        <f t="shared" si="76"/>
        <v>98.24748125</v>
      </c>
      <c r="K74" s="141" t="str">
        <f t="shared" si="3"/>
        <v>iShares Treasury Bond 20+ UCITS</v>
      </c>
      <c r="L74" s="145">
        <f t="shared" si="4"/>
        <v>62993</v>
      </c>
      <c r="M74" s="148">
        <f t="shared" si="5"/>
        <v>-252853.59</v>
      </c>
      <c r="N74" s="155" t="str">
        <f>IF($P74&lt;&gt;"",IF(MAXIFS(Investment!$M:$M,Investment!$H:$H,LEFT($P74,30)&amp;"*"),MAXIFS(Investment!$M:$M,Investment!$H:$H,LEFT($P74,30)&amp;"*"),),)</f>
        <v/>
      </c>
      <c r="O74" s="158" t="str">
        <f>IF($P74&lt;&gt;"",IF(MAXIFS(Investment!$AH:$AH,Investment!$H:$H,LEFT($P74,30)&amp;"*"),MAXIFS(Investment!$AH:$AH,Investment!$H:$H,LEFT($P74,30)&amp;"*"),),)</f>
        <v/>
      </c>
      <c r="P74" s="141"/>
      <c r="Q74" s="145"/>
      <c r="R74" s="138"/>
    </row>
    <row r="75">
      <c r="A75" s="122">
        <v>43580.0</v>
      </c>
      <c r="B75" s="124" t="s">
        <v>268</v>
      </c>
      <c r="C75" s="124" t="s">
        <v>270</v>
      </c>
      <c r="D75" s="124" t="s">
        <v>378</v>
      </c>
      <c r="E75" s="125"/>
      <c r="F75" s="126"/>
      <c r="G75" s="128">
        <v>-2.45</v>
      </c>
      <c r="H75" s="130" t="s">
        <v>544</v>
      </c>
      <c r="I75" s="138">
        <f t="shared" ref="I75:J75" si="77">IFS(AND($B75&lt;&gt;"",$E75&lt;&gt;""),IF(INDEX(N:N,MATCH($C75,$P:$P,0),1)&lt;&gt;"",$E75*INDEX(N:N,MATCH($C75,$P:$P,0),1)+$G75,""),AND($B75&lt;&gt;"",$D75="COST",$G75&lt;0),$G75,TRUE,)</f>
        <v>-2.45</v>
      </c>
      <c r="J75" s="138">
        <f t="shared" si="77"/>
        <v>-2.45</v>
      </c>
      <c r="K75" s="141" t="str">
        <f t="shared" si="3"/>
        <v>iShares Treasury Bond 20+ UCITS</v>
      </c>
      <c r="L75" s="145">
        <f t="shared" si="4"/>
        <v>62993</v>
      </c>
      <c r="M75" s="148">
        <f t="shared" si="5"/>
        <v>-252853.59</v>
      </c>
      <c r="N75" s="155" t="str">
        <f>IF($P75&lt;&gt;"",IF(MAXIFS(Investment!$M:$M,Investment!$H:$H,LEFT($P75,30)&amp;"*"),MAXIFS(Investment!$M:$M,Investment!$H:$H,LEFT($P75,30)&amp;"*"),),)</f>
        <v/>
      </c>
      <c r="O75" s="158" t="str">
        <f>IF($P75&lt;&gt;"",IF(MAXIFS(Investment!$AH:$AH,Investment!$H:$H,LEFT($P75,30)&amp;"*"),MAXIFS(Investment!$AH:$AH,Investment!$H:$H,LEFT($P75,30)&amp;"*"),),)</f>
        <v/>
      </c>
      <c r="P75" s="141"/>
      <c r="Q75" s="145"/>
      <c r="R75" s="138"/>
    </row>
    <row r="76">
      <c r="A76" s="200">
        <v>43579.0</v>
      </c>
      <c r="B76" s="202" t="s">
        <v>268</v>
      </c>
      <c r="C76" s="202" t="s">
        <v>270</v>
      </c>
      <c r="D76" s="202" t="s">
        <v>378</v>
      </c>
      <c r="E76" s="204"/>
      <c r="F76" s="206"/>
      <c r="G76" s="208">
        <v>-2.23</v>
      </c>
      <c r="H76" s="209" t="s">
        <v>509</v>
      </c>
      <c r="I76" s="168">
        <f t="shared" ref="I76:J76" si="78">IFS(AND($B76&lt;&gt;"",$E76&lt;&gt;""),IF(INDEX(N:N,MATCH($C76,$P:$P,0),1)&lt;&gt;"",$E76*INDEX(N:N,MATCH($C76,$P:$P,0),1)+$G76,""),AND($B76&lt;&gt;"",$D76="COST",$G76&lt;0),$G76,TRUE,)</f>
        <v>-2.23</v>
      </c>
      <c r="J76" s="168">
        <f t="shared" si="78"/>
        <v>-2.23</v>
      </c>
      <c r="K76" s="141" t="str">
        <f t="shared" si="3"/>
        <v>iShares Treasury Bond 20+ UCITS</v>
      </c>
      <c r="L76" s="145">
        <f t="shared" si="4"/>
        <v>62993</v>
      </c>
      <c r="M76" s="148">
        <f t="shared" si="5"/>
        <v>-252853.59</v>
      </c>
      <c r="N76" s="155" t="str">
        <f>IF($P76&lt;&gt;"",IF(MAXIFS(Investment!$M:$M,Investment!$H:$H,LEFT($P76,30)&amp;"*"),MAXIFS(Investment!$M:$M,Investment!$H:$H,LEFT($P76,30)&amp;"*"),),)</f>
        <v/>
      </c>
      <c r="O76" s="158" t="str">
        <f>IF($P76&lt;&gt;"",IF(MAXIFS(Investment!$AH:$AH,Investment!$H:$H,LEFT($P76,30)&amp;"*"),MAXIFS(Investment!$AH:$AH,Investment!$H:$H,LEFT($P76,30)&amp;"*"),),)</f>
        <v/>
      </c>
      <c r="P76" s="141"/>
      <c r="Q76" s="145"/>
      <c r="R76" s="138"/>
    </row>
    <row r="77">
      <c r="A77" s="200">
        <v>43579.0</v>
      </c>
      <c r="B77" s="202" t="s">
        <v>268</v>
      </c>
      <c r="C77" s="202" t="s">
        <v>270</v>
      </c>
      <c r="D77" s="202" t="s">
        <v>378</v>
      </c>
      <c r="E77" s="204"/>
      <c r="F77" s="206"/>
      <c r="G77" s="208">
        <v>-2.26</v>
      </c>
      <c r="H77" s="209" t="s">
        <v>406</v>
      </c>
      <c r="I77" s="168">
        <f t="shared" ref="I77:J77" si="79">IFS(AND($B77&lt;&gt;"",$E77&lt;&gt;""),IF(INDEX(N:N,MATCH($C77,$P:$P,0),1)&lt;&gt;"",$E77*INDEX(N:N,MATCH($C77,$P:$P,0),1)+$G77,""),AND($B77&lt;&gt;"",$D77="COST",$G77&lt;0),$G77,TRUE,)</f>
        <v>-2.26</v>
      </c>
      <c r="J77" s="168">
        <f t="shared" si="79"/>
        <v>-2.26</v>
      </c>
      <c r="K77" s="141" t="str">
        <f t="shared" si="3"/>
        <v>iShares Treasury Bond 20+ UCITS</v>
      </c>
      <c r="L77" s="145">
        <f t="shared" si="4"/>
        <v>62993</v>
      </c>
      <c r="M77" s="148">
        <f t="shared" si="5"/>
        <v>-252853.59</v>
      </c>
      <c r="N77" s="155" t="str">
        <f>IF($P77&lt;&gt;"",IF(MAXIFS(Investment!$M:$M,Investment!$H:$H,LEFT($P77,30)&amp;"*"),MAXIFS(Investment!$M:$M,Investment!$H:$H,LEFT($P77,30)&amp;"*"),),)</f>
        <v/>
      </c>
      <c r="O77" s="158" t="str">
        <f>IF($P77&lt;&gt;"",IF(MAXIFS(Investment!$AH:$AH,Investment!$H:$H,LEFT($P77,30)&amp;"*"),MAXIFS(Investment!$AH:$AH,Investment!$H:$H,LEFT($P77,30)&amp;"*"),),)</f>
        <v/>
      </c>
      <c r="P77" s="141"/>
      <c r="Q77" s="145"/>
      <c r="R77" s="138"/>
    </row>
    <row r="78">
      <c r="A78" s="214">
        <v>43579.0</v>
      </c>
      <c r="B78" s="216" t="s">
        <v>268</v>
      </c>
      <c r="C78" s="216" t="s">
        <v>270</v>
      </c>
      <c r="D78" s="216" t="s">
        <v>378</v>
      </c>
      <c r="E78" s="217"/>
      <c r="F78" s="218"/>
      <c r="G78" s="219">
        <v>-2.23</v>
      </c>
      <c r="H78" s="220" t="s">
        <v>509</v>
      </c>
      <c r="I78" s="194">
        <f t="shared" ref="I78:J78" si="80">IFS(AND($B78&lt;&gt;"",$E78&lt;&gt;""),IF(INDEX(N:N,MATCH($C78,$P:$P,0),1)&lt;&gt;"",$E78*INDEX(N:N,MATCH($C78,$P:$P,0),1)+$G78,""),AND($B78&lt;&gt;"",$D78="COST",$G78&lt;0),$G78,TRUE,)</f>
        <v>-2.23</v>
      </c>
      <c r="J78" s="194">
        <f t="shared" si="80"/>
        <v>-2.23</v>
      </c>
      <c r="K78" s="141" t="str">
        <f t="shared" si="3"/>
        <v>iShares Treasury Bond 20+ UCITS</v>
      </c>
      <c r="L78" s="145">
        <f t="shared" si="4"/>
        <v>62993</v>
      </c>
      <c r="M78" s="148">
        <f t="shared" si="5"/>
        <v>-252853.59</v>
      </c>
      <c r="N78" s="155" t="str">
        <f>IF($P78&lt;&gt;"",IF(MAXIFS(Investment!$M:$M,Investment!$H:$H,LEFT($P78,30)&amp;"*"),MAXIFS(Investment!$M:$M,Investment!$H:$H,LEFT($P78,30)&amp;"*"),),)</f>
        <v/>
      </c>
      <c r="O78" s="158" t="str">
        <f>IF($P78&lt;&gt;"",IF(MAXIFS(Investment!$AH:$AH,Investment!$H:$H,LEFT($P78,30)&amp;"*"),MAXIFS(Investment!$AH:$AH,Investment!$H:$H,LEFT($P78,30)&amp;"*"),),)</f>
        <v/>
      </c>
      <c r="P78" s="141"/>
      <c r="Q78" s="145"/>
      <c r="R78" s="138"/>
    </row>
    <row r="79">
      <c r="A79" s="214">
        <v>43579.0</v>
      </c>
      <c r="B79" s="216" t="s">
        <v>268</v>
      </c>
      <c r="C79" s="216" t="s">
        <v>270</v>
      </c>
      <c r="D79" s="216" t="s">
        <v>378</v>
      </c>
      <c r="E79" s="217"/>
      <c r="F79" s="218"/>
      <c r="G79" s="219">
        <v>-2.26</v>
      </c>
      <c r="H79" s="220" t="s">
        <v>406</v>
      </c>
      <c r="I79" s="194">
        <f t="shared" ref="I79:J79" si="81">IFS(AND($B79&lt;&gt;"",$E79&lt;&gt;""),IF(INDEX(N:N,MATCH($C79,$P:$P,0),1)&lt;&gt;"",$E79*INDEX(N:N,MATCH($C79,$P:$P,0),1)+$G79,""),AND($B79&lt;&gt;"",$D79="COST",$G79&lt;0),$G79,TRUE,)</f>
        <v>-2.26</v>
      </c>
      <c r="J79" s="194">
        <f t="shared" si="81"/>
        <v>-2.26</v>
      </c>
      <c r="K79" s="141" t="str">
        <f t="shared" si="3"/>
        <v>iShares Treasury Bond 20+ UCITS</v>
      </c>
      <c r="L79" s="145">
        <f t="shared" si="4"/>
        <v>62993</v>
      </c>
      <c r="M79" s="148">
        <f t="shared" si="5"/>
        <v>-252853.59</v>
      </c>
      <c r="N79" s="155" t="str">
        <f>IF($P79&lt;&gt;"",IF(MAXIFS(Investment!$M:$M,Investment!$H:$H,LEFT($P79,30)&amp;"*"),MAXIFS(Investment!$M:$M,Investment!$H:$H,LEFT($P79,30)&amp;"*"),),)</f>
        <v/>
      </c>
      <c r="O79" s="158" t="str">
        <f>IF($P79&lt;&gt;"",IF(MAXIFS(Investment!$AH:$AH,Investment!$H:$H,LEFT($P79,30)&amp;"*"),MAXIFS(Investment!$AH:$AH,Investment!$H:$H,LEFT($P79,30)&amp;"*"),),)</f>
        <v/>
      </c>
      <c r="P79" s="141"/>
      <c r="Q79" s="145"/>
      <c r="R79" s="138"/>
    </row>
    <row r="80">
      <c r="A80" s="122">
        <v>43579.0</v>
      </c>
      <c r="B80" s="124" t="s">
        <v>364</v>
      </c>
      <c r="C80" s="124" t="s">
        <v>366</v>
      </c>
      <c r="D80" s="124" t="s">
        <v>319</v>
      </c>
      <c r="E80" s="125">
        <v>-6.0</v>
      </c>
      <c r="F80" s="126">
        <v>175.0</v>
      </c>
      <c r="G80" s="128">
        <v>1050.0</v>
      </c>
      <c r="H80" s="130" t="s">
        <v>554</v>
      </c>
      <c r="I80" s="138">
        <f t="shared" ref="I80:J80" si="82">IFS(AND($B80&lt;&gt;"",$E80&lt;&gt;""),IF(INDEX(N:N,MATCH($C80,$P:$P,0),1)&lt;&gt;"",$E80*INDEX(N:N,MATCH($C80,$P:$P,0),1)+$G80,""),AND($B80&lt;&gt;"",$D80="COST",$G80&lt;0),$G80,TRUE,)</f>
        <v>-15</v>
      </c>
      <c r="J80" s="138">
        <f t="shared" si="82"/>
        <v>43.40976563</v>
      </c>
      <c r="K80" s="141" t="str">
        <f t="shared" si="3"/>
        <v>iShares Treasury Bond 7-10 UCITS</v>
      </c>
      <c r="L80" s="145">
        <f t="shared" si="4"/>
        <v>597</v>
      </c>
      <c r="M80" s="148">
        <f t="shared" si="5"/>
        <v>-91106.6</v>
      </c>
      <c r="N80" s="155" t="str">
        <f>IF($P80&lt;&gt;"",IF(MAXIFS(Investment!$M:$M,Investment!$H:$H,LEFT($P80,30)&amp;"*"),MAXIFS(Investment!$M:$M,Investment!$H:$H,LEFT($P80,30)&amp;"*"),),)</f>
        <v/>
      </c>
      <c r="O80" s="158" t="str">
        <f>IF($P80&lt;&gt;"",IF(MAXIFS(Investment!$AH:$AH,Investment!$H:$H,LEFT($P80,30)&amp;"*"),MAXIFS(Investment!$AH:$AH,Investment!$H:$H,LEFT($P80,30)&amp;"*"),),)</f>
        <v/>
      </c>
      <c r="P80" s="141"/>
      <c r="Q80" s="145"/>
      <c r="R80" s="138"/>
    </row>
    <row r="81">
      <c r="A81" s="122">
        <v>43579.0</v>
      </c>
      <c r="B81" s="124" t="s">
        <v>343</v>
      </c>
      <c r="C81" s="124" t="s">
        <v>344</v>
      </c>
      <c r="D81" s="124" t="s">
        <v>319</v>
      </c>
      <c r="E81" s="125">
        <v>-21.0</v>
      </c>
      <c r="F81" s="126">
        <v>49.729</v>
      </c>
      <c r="G81" s="128">
        <v>1044.31</v>
      </c>
      <c r="H81" s="130" t="s">
        <v>556</v>
      </c>
      <c r="I81" s="138">
        <f t="shared" ref="I81:J81" si="83">IFS(AND($B81&lt;&gt;"",$E81&lt;&gt;""),IF(INDEX(N:N,MATCH($C81,$P:$P,0),1)&lt;&gt;"",$E81*INDEX(N:N,MATCH($C81,$P:$P,0),1)+$G81,""),AND($B81&lt;&gt;"",$D81="COST",$G81&lt;0),$G81,TRUE,)</f>
        <v>21.589</v>
      </c>
      <c r="J81" s="138">
        <f t="shared" si="83"/>
        <v>69.71640625</v>
      </c>
      <c r="K81" s="141" t="str">
        <f t="shared" si="3"/>
        <v>Vanguard S&amp;P 500 UCITS</v>
      </c>
      <c r="L81" s="145">
        <f t="shared" si="4"/>
        <v>4293</v>
      </c>
      <c r="M81" s="148">
        <f t="shared" si="5"/>
        <v>-183260.93</v>
      </c>
      <c r="N81" s="155" t="str">
        <f>IF($P81&lt;&gt;"",IF(MAXIFS(Investment!$M:$M,Investment!$H:$H,LEFT($P81,30)&amp;"*"),MAXIFS(Investment!$M:$M,Investment!$H:$H,LEFT($P81,30)&amp;"*"),),)</f>
        <v/>
      </c>
      <c r="O81" s="158" t="str">
        <f>IF($P81&lt;&gt;"",IF(MAXIFS(Investment!$AH:$AH,Investment!$H:$H,LEFT($P81,30)&amp;"*"),MAXIFS(Investment!$AH:$AH,Investment!$H:$H,LEFT($P81,30)&amp;"*"),),)</f>
        <v/>
      </c>
      <c r="P81" s="141"/>
      <c r="Q81" s="145"/>
      <c r="R81" s="138"/>
    </row>
    <row r="82">
      <c r="A82" s="122">
        <v>43579.0</v>
      </c>
      <c r="B82" s="124" t="s">
        <v>268</v>
      </c>
      <c r="C82" s="124" t="s">
        <v>270</v>
      </c>
      <c r="D82" s="124" t="s">
        <v>319</v>
      </c>
      <c r="E82" s="125">
        <v>-330.0</v>
      </c>
      <c r="F82" s="126">
        <v>4.141</v>
      </c>
      <c r="G82" s="128">
        <v>1366.53</v>
      </c>
      <c r="H82" s="130" t="s">
        <v>560</v>
      </c>
      <c r="I82" s="138">
        <f t="shared" ref="I82:J82" si="84">IFS(AND($B82&lt;&gt;"",$E82&lt;&gt;""),IF(INDEX(N:N,MATCH($C82,$P:$P,0),1)&lt;&gt;"",$E82*INDEX(N:N,MATCH($C82,$P:$P,0),1)+$G82,""),AND($B82&lt;&gt;"",$D82="COST",$G82&lt;0),$G82,TRUE,)</f>
        <v>-67.65</v>
      </c>
      <c r="J82" s="138">
        <f t="shared" si="84"/>
        <v>52.33986914</v>
      </c>
      <c r="K82" s="141" t="str">
        <f t="shared" si="3"/>
        <v>iShares Treasury Bond 20+ UCITS</v>
      </c>
      <c r="L82" s="145">
        <f t="shared" si="4"/>
        <v>62993</v>
      </c>
      <c r="M82" s="148">
        <f t="shared" si="5"/>
        <v>-252853.59</v>
      </c>
      <c r="N82" s="155" t="str">
        <f>IF($P82&lt;&gt;"",IF(MAXIFS(Investment!$M:$M,Investment!$H:$H,LEFT($P82,30)&amp;"*"),MAXIFS(Investment!$M:$M,Investment!$H:$H,LEFT($P82,30)&amp;"*"),),)</f>
        <v/>
      </c>
      <c r="O82" s="158" t="str">
        <f>IF($P82&lt;&gt;"",IF(MAXIFS(Investment!$AH:$AH,Investment!$H:$H,LEFT($P82,30)&amp;"*"),MAXIFS(Investment!$AH:$AH,Investment!$H:$H,LEFT($P82,30)&amp;"*"),),)</f>
        <v/>
      </c>
      <c r="P82" s="141"/>
      <c r="Q82" s="145"/>
      <c r="R82" s="138"/>
    </row>
    <row r="83">
      <c r="A83" s="122">
        <v>43579.0</v>
      </c>
      <c r="B83" s="124" t="s">
        <v>268</v>
      </c>
      <c r="C83" s="124" t="s">
        <v>270</v>
      </c>
      <c r="D83" s="124" t="s">
        <v>378</v>
      </c>
      <c r="E83" s="125"/>
      <c r="F83" s="126"/>
      <c r="G83" s="128">
        <v>-2.27</v>
      </c>
      <c r="H83" s="130" t="s">
        <v>561</v>
      </c>
      <c r="I83" s="138">
        <f t="shared" ref="I83:J83" si="85">IFS(AND($B83&lt;&gt;"",$E83&lt;&gt;""),IF(INDEX(N:N,MATCH($C83,$P:$P,0),1)&lt;&gt;"",$E83*INDEX(N:N,MATCH($C83,$P:$P,0),1)+$G83,""),AND($B83&lt;&gt;"",$D83="COST",$G83&lt;0),$G83,TRUE,)</f>
        <v>-2.27</v>
      </c>
      <c r="J83" s="138">
        <f t="shared" si="85"/>
        <v>-2.27</v>
      </c>
      <c r="K83" s="141" t="str">
        <f t="shared" si="3"/>
        <v>iShares Treasury Bond 20+ UCITS</v>
      </c>
      <c r="L83" s="145">
        <f t="shared" si="4"/>
        <v>62993</v>
      </c>
      <c r="M83" s="148">
        <f t="shared" si="5"/>
        <v>-252853.59</v>
      </c>
      <c r="N83" s="155" t="str">
        <f>IF($P83&lt;&gt;"",IF(MAXIFS(Investment!$M:$M,Investment!$H:$H,LEFT($P83,30)&amp;"*"),MAXIFS(Investment!$M:$M,Investment!$H:$H,LEFT($P83,30)&amp;"*"),),)</f>
        <v/>
      </c>
      <c r="O83" s="158" t="str">
        <f>IF($P83&lt;&gt;"",IF(MAXIFS(Investment!$AH:$AH,Investment!$H:$H,LEFT($P83,30)&amp;"*"),MAXIFS(Investment!$AH:$AH,Investment!$H:$H,LEFT($P83,30)&amp;"*"),),)</f>
        <v/>
      </c>
      <c r="P83" s="141"/>
      <c r="Q83" s="145"/>
      <c r="R83" s="138"/>
    </row>
    <row r="84">
      <c r="A84" s="122">
        <v>43579.0</v>
      </c>
      <c r="B84" s="124" t="s">
        <v>343</v>
      </c>
      <c r="C84" s="124" t="s">
        <v>344</v>
      </c>
      <c r="D84" s="124" t="s">
        <v>319</v>
      </c>
      <c r="E84" s="125">
        <v>-23.0</v>
      </c>
      <c r="F84" s="126">
        <v>49.6999</v>
      </c>
      <c r="G84" s="128">
        <v>1143.1</v>
      </c>
      <c r="H84" s="130" t="s">
        <v>567</v>
      </c>
      <c r="I84" s="138">
        <f t="shared" ref="I84:J84" si="86">IFS(AND($B84&lt;&gt;"",$E84&lt;&gt;""),IF(INDEX(N:N,MATCH($C84,$P:$P,0),1)&lt;&gt;"",$E84*INDEX(N:N,MATCH($C84,$P:$P,0),1)+$G84,""),AND($B84&lt;&gt;"",$D84="COST",$G84&lt;0),$G84,TRUE,)</f>
        <v>22.977</v>
      </c>
      <c r="J84" s="138">
        <f t="shared" si="86"/>
        <v>75.68796875</v>
      </c>
      <c r="K84" s="141" t="str">
        <f t="shared" si="3"/>
        <v>Vanguard S&amp;P 500 UCITS</v>
      </c>
      <c r="L84" s="145">
        <f t="shared" si="4"/>
        <v>4293</v>
      </c>
      <c r="M84" s="148">
        <f t="shared" si="5"/>
        <v>-183260.93</v>
      </c>
      <c r="N84" s="155" t="str">
        <f>IF($P84&lt;&gt;"",IF(MAXIFS(Investment!$M:$M,Investment!$H:$H,LEFT($P84,30)&amp;"*"),MAXIFS(Investment!$M:$M,Investment!$H:$H,LEFT($P84,30)&amp;"*"),),)</f>
        <v/>
      </c>
      <c r="O84" s="158" t="str">
        <f>IF($P84&lt;&gt;"",IF(MAXIFS(Investment!$AH:$AH,Investment!$H:$H,LEFT($P84,30)&amp;"*"),MAXIFS(Investment!$AH:$AH,Investment!$H:$H,LEFT($P84,30)&amp;"*"),),)</f>
        <v/>
      </c>
      <c r="P84" s="141"/>
      <c r="Q84" s="145"/>
      <c r="R84" s="138"/>
    </row>
    <row r="85">
      <c r="A85" s="122">
        <v>43579.0</v>
      </c>
      <c r="B85" s="124" t="s">
        <v>268</v>
      </c>
      <c r="C85" s="124" t="s">
        <v>270</v>
      </c>
      <c r="D85" s="124" t="s">
        <v>319</v>
      </c>
      <c r="E85" s="125">
        <v>-320.0</v>
      </c>
      <c r="F85" s="126">
        <v>4.1356</v>
      </c>
      <c r="G85" s="128">
        <v>1323.42</v>
      </c>
      <c r="H85" s="130" t="s">
        <v>569</v>
      </c>
      <c r="I85" s="138">
        <f t="shared" ref="I85:J85" si="87">IFS(AND($B85&lt;&gt;"",$E85&lt;&gt;""),IF(INDEX(N:N,MATCH($C85,$P:$P,0),1)&lt;&gt;"",$E85*INDEX(N:N,MATCH($C85,$P:$P,0),1)+$G85,""),AND($B85&lt;&gt;"",$D85="COST",$G85&lt;0),$G85,TRUE,)</f>
        <v>-67.3</v>
      </c>
      <c r="J85" s="138">
        <f t="shared" si="87"/>
        <v>49.0538125</v>
      </c>
      <c r="K85" s="141" t="str">
        <f t="shared" si="3"/>
        <v>iShares Treasury Bond 20+ UCITS</v>
      </c>
      <c r="L85" s="145">
        <f t="shared" si="4"/>
        <v>62993</v>
      </c>
      <c r="M85" s="148">
        <f t="shared" si="5"/>
        <v>-252853.59</v>
      </c>
      <c r="N85" s="155" t="str">
        <f>IF($P85&lt;&gt;"",IF(MAXIFS(Investment!$M:$M,Investment!$H:$H,LEFT($P85,30)&amp;"*"),MAXIFS(Investment!$M:$M,Investment!$H:$H,LEFT($P85,30)&amp;"*"),),)</f>
        <v/>
      </c>
      <c r="O85" s="158" t="str">
        <f>IF($P85&lt;&gt;"",IF(MAXIFS(Investment!$AH:$AH,Investment!$H:$H,LEFT($P85,30)&amp;"*"),MAXIFS(Investment!$AH:$AH,Investment!$H:$H,LEFT($P85,30)&amp;"*"),),)</f>
        <v/>
      </c>
      <c r="P85" s="141"/>
      <c r="Q85" s="145"/>
      <c r="R85" s="138"/>
    </row>
    <row r="86">
      <c r="A86" s="122">
        <v>43579.0</v>
      </c>
      <c r="B86" s="124" t="s">
        <v>268</v>
      </c>
      <c r="C86" s="124" t="s">
        <v>270</v>
      </c>
      <c r="D86" s="124" t="s">
        <v>378</v>
      </c>
      <c r="E86" s="125"/>
      <c r="F86" s="126"/>
      <c r="G86" s="128">
        <v>-2.26</v>
      </c>
      <c r="H86" s="130" t="s">
        <v>406</v>
      </c>
      <c r="I86" s="138">
        <f t="shared" ref="I86:J86" si="88">IFS(AND($B86&lt;&gt;"",$E86&lt;&gt;""),IF(INDEX(N:N,MATCH($C86,$P:$P,0),1)&lt;&gt;"",$E86*INDEX(N:N,MATCH($C86,$P:$P,0),1)+$G86,""),AND($B86&lt;&gt;"",$D86="COST",$G86&lt;0),$G86,TRUE,)</f>
        <v>-2.26</v>
      </c>
      <c r="J86" s="138">
        <f t="shared" si="88"/>
        <v>-2.26</v>
      </c>
      <c r="K86" s="141" t="str">
        <f t="shared" si="3"/>
        <v>iShares Treasury Bond 20+ UCITS</v>
      </c>
      <c r="L86" s="145">
        <f t="shared" si="4"/>
        <v>62993</v>
      </c>
      <c r="M86" s="148">
        <f t="shared" si="5"/>
        <v>-252853.59</v>
      </c>
      <c r="N86" s="155" t="str">
        <f>IF($P86&lt;&gt;"",IF(MAXIFS(Investment!$M:$M,Investment!$H:$H,LEFT($P86,30)&amp;"*"),MAXIFS(Investment!$M:$M,Investment!$H:$H,LEFT($P86,30)&amp;"*"),),)</f>
        <v/>
      </c>
      <c r="O86" s="158" t="str">
        <f>IF($P86&lt;&gt;"",IF(MAXIFS(Investment!$AH:$AH,Investment!$H:$H,LEFT($P86,30)&amp;"*"),MAXIFS(Investment!$AH:$AH,Investment!$H:$H,LEFT($P86,30)&amp;"*"),),)</f>
        <v/>
      </c>
      <c r="P86" s="141"/>
      <c r="Q86" s="145"/>
      <c r="R86" s="138"/>
    </row>
    <row r="87">
      <c r="A87" s="122">
        <v>43579.0</v>
      </c>
      <c r="B87" s="124" t="s">
        <v>364</v>
      </c>
      <c r="C87" s="124" t="s">
        <v>366</v>
      </c>
      <c r="D87" s="124" t="s">
        <v>319</v>
      </c>
      <c r="E87" s="125">
        <v>-6.0</v>
      </c>
      <c r="F87" s="126">
        <v>174.67</v>
      </c>
      <c r="G87" s="128">
        <v>1048.02</v>
      </c>
      <c r="H87" s="130" t="s">
        <v>574</v>
      </c>
      <c r="I87" s="138">
        <f t="shared" ref="I87:J87" si="89">IFS(AND($B87&lt;&gt;"",$E87&lt;&gt;""),IF(INDEX(N:N,MATCH($C87,$P:$P,0),1)&lt;&gt;"",$E87*INDEX(N:N,MATCH($C87,$P:$P,0),1)+$G87,""),AND($B87&lt;&gt;"",$D87="COST",$G87&lt;0),$G87,TRUE,)</f>
        <v>-16.98</v>
      </c>
      <c r="J87" s="138">
        <f t="shared" si="89"/>
        <v>41.42976563</v>
      </c>
      <c r="K87" s="141" t="str">
        <f t="shared" si="3"/>
        <v>iShares Treasury Bond 7-10 UCITS</v>
      </c>
      <c r="L87" s="145">
        <f t="shared" si="4"/>
        <v>597</v>
      </c>
      <c r="M87" s="148">
        <f t="shared" si="5"/>
        <v>-91106.6</v>
      </c>
      <c r="N87" s="155" t="str">
        <f>IF($P87&lt;&gt;"",IF(MAXIFS(Investment!$M:$M,Investment!$H:$H,LEFT($P87,30)&amp;"*"),MAXIFS(Investment!$M:$M,Investment!$H:$H,LEFT($P87,30)&amp;"*"),),)</f>
        <v/>
      </c>
      <c r="O87" s="158" t="str">
        <f>IF($P87&lt;&gt;"",IF(MAXIFS(Investment!$AH:$AH,Investment!$H:$H,LEFT($P87,30)&amp;"*"),MAXIFS(Investment!$AH:$AH,Investment!$H:$H,LEFT($P87,30)&amp;"*"),),)</f>
        <v/>
      </c>
      <c r="P87" s="141"/>
      <c r="Q87" s="145"/>
      <c r="R87" s="138"/>
    </row>
    <row r="88">
      <c r="A88" s="122">
        <v>43579.0</v>
      </c>
      <c r="B88" s="124" t="s">
        <v>268</v>
      </c>
      <c r="C88" s="124" t="s">
        <v>270</v>
      </c>
      <c r="D88" s="124" t="s">
        <v>319</v>
      </c>
      <c r="E88" s="125">
        <v>-285.0</v>
      </c>
      <c r="F88" s="126">
        <v>4.1217</v>
      </c>
      <c r="G88" s="128">
        <v>1174.71</v>
      </c>
      <c r="H88" s="130" t="s">
        <v>575</v>
      </c>
      <c r="I88" s="138">
        <f t="shared" ref="I88:J88" si="90">IFS(AND($B88&lt;&gt;"",$E88&lt;&gt;""),IF(INDEX(N:N,MATCH($C88,$P:$P,0),1)&lt;&gt;"",$E88*INDEX(N:N,MATCH($C88,$P:$P,0),1)+$G88,""),AND($B88&lt;&gt;"",$D88="COST",$G88&lt;0),$G88,TRUE,)</f>
        <v>-63.9</v>
      </c>
      <c r="J88" s="138">
        <f t="shared" si="90"/>
        <v>39.72761426</v>
      </c>
      <c r="K88" s="141" t="str">
        <f t="shared" si="3"/>
        <v>iShares Treasury Bond 20+ UCITS</v>
      </c>
      <c r="L88" s="145">
        <f t="shared" si="4"/>
        <v>62993</v>
      </c>
      <c r="M88" s="148">
        <f t="shared" si="5"/>
        <v>-252853.59</v>
      </c>
      <c r="N88" s="155" t="str">
        <f>IF($P88&lt;&gt;"",IF(MAXIFS(Investment!$M:$M,Investment!$H:$H,LEFT($P88,30)&amp;"*"),MAXIFS(Investment!$M:$M,Investment!$H:$H,LEFT($P88,30)&amp;"*"),),)</f>
        <v/>
      </c>
      <c r="O88" s="158" t="str">
        <f>IF($P88&lt;&gt;"",IF(MAXIFS(Investment!$AH:$AH,Investment!$H:$H,LEFT($P88,30)&amp;"*"),MAXIFS(Investment!$AH:$AH,Investment!$H:$H,LEFT($P88,30)&amp;"*"),),)</f>
        <v/>
      </c>
      <c r="P88" s="141"/>
      <c r="Q88" s="145"/>
      <c r="R88" s="138"/>
    </row>
    <row r="89">
      <c r="A89" s="122">
        <v>43579.0</v>
      </c>
      <c r="B89" s="124" t="s">
        <v>268</v>
      </c>
      <c r="C89" s="124" t="s">
        <v>270</v>
      </c>
      <c r="D89" s="124" t="s">
        <v>378</v>
      </c>
      <c r="E89" s="125"/>
      <c r="F89" s="126"/>
      <c r="G89" s="128">
        <v>-2.23</v>
      </c>
      <c r="H89" s="130" t="s">
        <v>509</v>
      </c>
      <c r="I89" s="138">
        <f t="shared" ref="I89:J89" si="91">IFS(AND($B89&lt;&gt;"",$E89&lt;&gt;""),IF(INDEX(N:N,MATCH($C89,$P:$P,0),1)&lt;&gt;"",$E89*INDEX(N:N,MATCH($C89,$P:$P,0),1)+$G89,""),AND($B89&lt;&gt;"",$D89="COST",$G89&lt;0),$G89,TRUE,)</f>
        <v>-2.23</v>
      </c>
      <c r="J89" s="138">
        <f t="shared" si="91"/>
        <v>-2.23</v>
      </c>
      <c r="K89" s="141" t="str">
        <f t="shared" si="3"/>
        <v>iShares Treasury Bond 20+ UCITS</v>
      </c>
      <c r="L89" s="145">
        <f t="shared" si="4"/>
        <v>62993</v>
      </c>
      <c r="M89" s="148">
        <f t="shared" si="5"/>
        <v>-252853.59</v>
      </c>
      <c r="N89" s="155" t="str">
        <f>IF($P89&lt;&gt;"",IF(MAXIFS(Investment!$M:$M,Investment!$H:$H,LEFT($P89,30)&amp;"*"),MAXIFS(Investment!$M:$M,Investment!$H:$H,LEFT($P89,30)&amp;"*"),),)</f>
        <v/>
      </c>
      <c r="O89" s="158" t="str">
        <f>IF($P89&lt;&gt;"",IF(MAXIFS(Investment!$AH:$AH,Investment!$H:$H,LEFT($P89,30)&amp;"*"),MAXIFS(Investment!$AH:$AH,Investment!$H:$H,LEFT($P89,30)&amp;"*"),),)</f>
        <v/>
      </c>
      <c r="P89" s="141"/>
      <c r="Q89" s="145"/>
      <c r="R89" s="138"/>
    </row>
    <row r="90">
      <c r="A90" s="122">
        <v>43579.0</v>
      </c>
      <c r="B90" s="124" t="s">
        <v>343</v>
      </c>
      <c r="C90" s="124" t="s">
        <v>344</v>
      </c>
      <c r="D90" s="124" t="s">
        <v>319</v>
      </c>
      <c r="E90" s="125">
        <v>-25.0</v>
      </c>
      <c r="F90" s="126">
        <v>49.62</v>
      </c>
      <c r="G90" s="128">
        <v>1240.5</v>
      </c>
      <c r="H90" s="130" t="s">
        <v>582</v>
      </c>
      <c r="I90" s="138">
        <f t="shared" ref="I90:J90" si="92">IFS(AND($B90&lt;&gt;"",$E90&lt;&gt;""),IF(INDEX(N:N,MATCH($C90,$P:$P,0),1)&lt;&gt;"",$E90*INDEX(N:N,MATCH($C90,$P:$P,0),1)+$G90,""),AND($B90&lt;&gt;"",$D90="COST",$G90&lt;0),$G90,TRUE,)</f>
        <v>22.975</v>
      </c>
      <c r="J90" s="138">
        <f t="shared" si="92"/>
        <v>80.26953125</v>
      </c>
      <c r="K90" s="141" t="str">
        <f t="shared" si="3"/>
        <v>Vanguard S&amp;P 500 UCITS</v>
      </c>
      <c r="L90" s="145">
        <f t="shared" si="4"/>
        <v>4293</v>
      </c>
      <c r="M90" s="148">
        <f t="shared" si="5"/>
        <v>-183260.93</v>
      </c>
      <c r="N90" s="155" t="str">
        <f>IF($P90&lt;&gt;"",IF(MAXIFS(Investment!$M:$M,Investment!$H:$H,LEFT($P90,30)&amp;"*"),MAXIFS(Investment!$M:$M,Investment!$H:$H,LEFT($P90,30)&amp;"*"),),)</f>
        <v/>
      </c>
      <c r="O90" s="158" t="str">
        <f>IF($P90&lt;&gt;"",IF(MAXIFS(Investment!$AH:$AH,Investment!$H:$H,LEFT($P90,30)&amp;"*"),MAXIFS(Investment!$AH:$AH,Investment!$H:$H,LEFT($P90,30)&amp;"*"),),)</f>
        <v/>
      </c>
      <c r="P90" s="141"/>
      <c r="Q90" s="145"/>
      <c r="R90" s="138"/>
    </row>
    <row r="91">
      <c r="A91" s="122">
        <v>43578.0</v>
      </c>
      <c r="B91" s="124" t="s">
        <v>343</v>
      </c>
      <c r="C91" s="124" t="s">
        <v>344</v>
      </c>
      <c r="D91" s="124" t="s">
        <v>319</v>
      </c>
      <c r="E91" s="125">
        <v>-25.0</v>
      </c>
      <c r="F91" s="126">
        <v>49.2048</v>
      </c>
      <c r="G91" s="128">
        <v>1230.12</v>
      </c>
      <c r="H91" s="130" t="s">
        <v>587</v>
      </c>
      <c r="I91" s="138">
        <f t="shared" ref="I91:J91" si="93">IFS(AND($B91&lt;&gt;"",$E91&lt;&gt;""),IF(INDEX(N:N,MATCH($C91,$P:$P,0),1)&lt;&gt;"",$E91*INDEX(N:N,MATCH($C91,$P:$P,0),1)+$G91,""),AND($B91&lt;&gt;"",$D91="COST",$G91&lt;0),$G91,TRUE,)</f>
        <v>12.595</v>
      </c>
      <c r="J91" s="138">
        <f t="shared" si="93"/>
        <v>69.88953125</v>
      </c>
      <c r="K91" s="141" t="str">
        <f t="shared" si="3"/>
        <v>Vanguard S&amp;P 500 UCITS</v>
      </c>
      <c r="L91" s="145">
        <f t="shared" si="4"/>
        <v>4293</v>
      </c>
      <c r="M91" s="148">
        <f t="shared" si="5"/>
        <v>-183260.93</v>
      </c>
      <c r="N91" s="155" t="str">
        <f>IF($P91&lt;&gt;"",IF(MAXIFS(Investment!$M:$M,Investment!$H:$H,LEFT($P91,30)&amp;"*"),MAXIFS(Investment!$M:$M,Investment!$H:$H,LEFT($P91,30)&amp;"*"),),)</f>
        <v/>
      </c>
      <c r="O91" s="158" t="str">
        <f>IF($P91&lt;&gt;"",IF(MAXIFS(Investment!$AH:$AH,Investment!$H:$H,LEFT($P91,30)&amp;"*"),MAXIFS(Investment!$AH:$AH,Investment!$H:$H,LEFT($P91,30)&amp;"*"),),)</f>
        <v/>
      </c>
      <c r="P91" s="141"/>
      <c r="Q91" s="145"/>
      <c r="R91" s="138"/>
    </row>
    <row r="92">
      <c r="A92" s="122">
        <v>43578.0</v>
      </c>
      <c r="B92" s="124" t="s">
        <v>328</v>
      </c>
      <c r="C92" s="124" t="s">
        <v>329</v>
      </c>
      <c r="D92" s="124" t="s">
        <v>319</v>
      </c>
      <c r="E92" s="125">
        <v>-150.0</v>
      </c>
      <c r="F92" s="126">
        <v>7.43</v>
      </c>
      <c r="G92" s="128">
        <v>1114.5</v>
      </c>
      <c r="H92" s="130" t="s">
        <v>590</v>
      </c>
      <c r="I92" s="138">
        <f t="shared" ref="I92:J92" si="94">IFS(AND($B92&lt;&gt;"",$E92&lt;&gt;""),IF(INDEX(N:N,MATCH($C92,$P:$P,0),1)&lt;&gt;"",$E92*INDEX(N:N,MATCH($C92,$P:$P,0),1)+$G92,""),AND($B92&lt;&gt;"",$D92="COST",$G92&lt;0),$G92,TRUE,)</f>
        <v>34.2</v>
      </c>
      <c r="J92" s="138">
        <f t="shared" si="94"/>
        <v>16.29433594</v>
      </c>
      <c r="K92" s="141" t="str">
        <f t="shared" si="3"/>
        <v>ETFS All Commodities ETC</v>
      </c>
      <c r="L92" s="145">
        <f t="shared" si="4"/>
        <v>11470</v>
      </c>
      <c r="M92" s="148">
        <f t="shared" si="5"/>
        <v>-83154.49</v>
      </c>
      <c r="N92" s="155" t="str">
        <f>IF($P92&lt;&gt;"",IF(MAXIFS(Investment!$M:$M,Investment!$H:$H,LEFT($P92,30)&amp;"*"),MAXIFS(Investment!$M:$M,Investment!$H:$H,LEFT($P92,30)&amp;"*"),),)</f>
        <v/>
      </c>
      <c r="O92" s="158" t="str">
        <f>IF($P92&lt;&gt;"",IF(MAXIFS(Investment!$AH:$AH,Investment!$H:$H,LEFT($P92,30)&amp;"*"),MAXIFS(Investment!$AH:$AH,Investment!$H:$H,LEFT($P92,30)&amp;"*"),),)</f>
        <v/>
      </c>
      <c r="P92" s="141"/>
      <c r="Q92" s="145"/>
      <c r="R92" s="138"/>
    </row>
    <row r="93">
      <c r="A93" s="122">
        <v>43573.0</v>
      </c>
      <c r="B93" s="124"/>
      <c r="C93" s="124"/>
      <c r="D93" s="124" t="s">
        <v>378</v>
      </c>
      <c r="E93" s="125"/>
      <c r="F93" s="126"/>
      <c r="G93" s="128">
        <v>-29.91</v>
      </c>
      <c r="H93" s="249" t="s">
        <v>591</v>
      </c>
      <c r="I93" s="138" t="str">
        <f t="shared" ref="I93:J93" si="95">IFS(AND($B93&lt;&gt;"",$E93&lt;&gt;""),IF(INDEX(N:N,MATCH($C93,$P:$P,0),1)&lt;&gt;"",$E93*INDEX(N:N,MATCH($C93,$P:$P,0),1)+$G93,""),AND($B93&lt;&gt;"",$D93="COST",$G93&lt;0),$G93,TRUE,)</f>
        <v/>
      </c>
      <c r="J93" s="138" t="str">
        <f t="shared" si="95"/>
        <v/>
      </c>
      <c r="K93" s="141" t="str">
        <f t="shared" si="3"/>
        <v/>
      </c>
      <c r="L93" s="145" t="str">
        <f t="shared" si="4"/>
        <v/>
      </c>
      <c r="M93" s="148" t="str">
        <f t="shared" si="5"/>
        <v/>
      </c>
      <c r="N93" s="155" t="str">
        <f>IF($P93&lt;&gt;"",IF(MAXIFS(Investment!$M:$M,Investment!$H:$H,LEFT($P93,30)&amp;"*"),MAXIFS(Investment!$M:$M,Investment!$H:$H,LEFT($P93,30)&amp;"*"),),)</f>
        <v/>
      </c>
      <c r="O93" s="158" t="str">
        <f>IF($P93&lt;&gt;"",IF(MAXIFS(Investment!$AH:$AH,Investment!$H:$H,LEFT($P93,30)&amp;"*"),MAXIFS(Investment!$AH:$AH,Investment!$H:$H,LEFT($P93,30)&amp;"*"),),)</f>
        <v/>
      </c>
      <c r="P93" s="141"/>
      <c r="Q93" s="145"/>
      <c r="R93" s="138"/>
    </row>
    <row r="94">
      <c r="A94" s="122">
        <v>43573.0</v>
      </c>
      <c r="B94" s="124" t="s">
        <v>343</v>
      </c>
      <c r="C94" s="124" t="s">
        <v>344</v>
      </c>
      <c r="D94" s="124" t="s">
        <v>319</v>
      </c>
      <c r="E94" s="125">
        <v>-25.0</v>
      </c>
      <c r="F94" s="126">
        <v>49.03</v>
      </c>
      <c r="G94" s="128">
        <v>1225.75</v>
      </c>
      <c r="H94" s="130" t="s">
        <v>595</v>
      </c>
      <c r="I94" s="138">
        <f t="shared" ref="I94:J94" si="96">IFS(AND($B94&lt;&gt;"",$E94&lt;&gt;""),IF(INDEX(N:N,MATCH($C94,$P:$P,0),1)&lt;&gt;"",$E94*INDEX(N:N,MATCH($C94,$P:$P,0),1)+$G94,""),AND($B94&lt;&gt;"",$D94="COST",$G94&lt;0),$G94,TRUE,)</f>
        <v>8.225</v>
      </c>
      <c r="J94" s="138">
        <f t="shared" si="96"/>
        <v>65.51953125</v>
      </c>
      <c r="K94" s="141" t="str">
        <f t="shared" si="3"/>
        <v>Vanguard S&amp;P 500 UCITS</v>
      </c>
      <c r="L94" s="145">
        <f t="shared" si="4"/>
        <v>4293</v>
      </c>
      <c r="M94" s="148">
        <f t="shared" si="5"/>
        <v>-183260.93</v>
      </c>
      <c r="N94" s="155" t="str">
        <f>IF($P94&lt;&gt;"",IF(MAXIFS(Investment!$M:$M,Investment!$H:$H,LEFT($P94,30)&amp;"*"),MAXIFS(Investment!$M:$M,Investment!$H:$H,LEFT($P94,30)&amp;"*"),),)</f>
        <v/>
      </c>
      <c r="O94" s="158" t="str">
        <f>IF($P94&lt;&gt;"",IF(MAXIFS(Investment!$AH:$AH,Investment!$H:$H,LEFT($P94,30)&amp;"*"),MAXIFS(Investment!$AH:$AH,Investment!$H:$H,LEFT($P94,30)&amp;"*"),),)</f>
        <v/>
      </c>
      <c r="P94" s="141"/>
      <c r="Q94" s="145"/>
      <c r="R94" s="138"/>
    </row>
    <row r="95">
      <c r="A95" s="122">
        <v>43573.0</v>
      </c>
      <c r="B95" s="124" t="s">
        <v>268</v>
      </c>
      <c r="C95" s="124" t="s">
        <v>270</v>
      </c>
      <c r="D95" s="124" t="s">
        <v>319</v>
      </c>
      <c r="E95" s="125">
        <v>-879.0</v>
      </c>
      <c r="F95" s="126">
        <v>4.0992</v>
      </c>
      <c r="G95" s="128">
        <v>3603.2</v>
      </c>
      <c r="H95" s="130" t="s">
        <v>596</v>
      </c>
      <c r="I95" s="138">
        <f t="shared" ref="I95:J95" si="97">IFS(AND($B95&lt;&gt;"",$E95&lt;&gt;""),IF(INDEX(N:N,MATCH($C95,$P:$P,0),1)&lt;&gt;"",$E95*INDEX(N:N,MATCH($C95,$P:$P,0),1)+$G95,""),AND($B95&lt;&gt;"",$D95="COST",$G95&lt;0),$G95,TRUE,)</f>
        <v>-216.934</v>
      </c>
      <c r="J95" s="138">
        <f t="shared" si="97"/>
        <v>102.6753787</v>
      </c>
      <c r="K95" s="141" t="str">
        <f t="shared" si="3"/>
        <v>iShares Treasury Bond 20+ UCITS</v>
      </c>
      <c r="L95" s="145">
        <f t="shared" si="4"/>
        <v>62993</v>
      </c>
      <c r="M95" s="148">
        <f t="shared" si="5"/>
        <v>-252853.59</v>
      </c>
      <c r="N95" s="155" t="str">
        <f>IF($P95&lt;&gt;"",IF(MAXIFS(Investment!$M:$M,Investment!$H:$H,LEFT($P95,30)&amp;"*"),MAXIFS(Investment!$M:$M,Investment!$H:$H,LEFT($P95,30)&amp;"*"),),)</f>
        <v/>
      </c>
      <c r="O95" s="158" t="str">
        <f>IF($P95&lt;&gt;"",IF(MAXIFS(Investment!$AH:$AH,Investment!$H:$H,LEFT($P95,30)&amp;"*"),MAXIFS(Investment!$AH:$AH,Investment!$H:$H,LEFT($P95,30)&amp;"*"),),)</f>
        <v/>
      </c>
      <c r="P95" s="141"/>
      <c r="Q95" s="145"/>
      <c r="R95" s="138"/>
    </row>
    <row r="96">
      <c r="A96" s="122">
        <v>43573.0</v>
      </c>
      <c r="B96" s="124" t="s">
        <v>268</v>
      </c>
      <c r="C96" s="124" t="s">
        <v>270</v>
      </c>
      <c r="D96" s="124" t="s">
        <v>378</v>
      </c>
      <c r="E96" s="125"/>
      <c r="F96" s="126"/>
      <c r="G96" s="128">
        <v>-2.72</v>
      </c>
      <c r="H96" s="130" t="s">
        <v>603</v>
      </c>
      <c r="I96" s="138">
        <f t="shared" ref="I96:J96" si="98">IFS(AND($B96&lt;&gt;"",$E96&lt;&gt;""),IF(INDEX(N:N,MATCH($C96,$P:$P,0),1)&lt;&gt;"",$E96*INDEX(N:N,MATCH($C96,$P:$P,0),1)+$G96,""),AND($B96&lt;&gt;"",$D96="COST",$G96&lt;0),$G96,TRUE,)</f>
        <v>-2.72</v>
      </c>
      <c r="J96" s="138">
        <f t="shared" si="98"/>
        <v>-2.72</v>
      </c>
      <c r="K96" s="141" t="str">
        <f t="shared" si="3"/>
        <v>iShares Treasury Bond 20+ UCITS</v>
      </c>
      <c r="L96" s="145">
        <f t="shared" si="4"/>
        <v>62993</v>
      </c>
      <c r="M96" s="148">
        <f t="shared" si="5"/>
        <v>-252853.59</v>
      </c>
      <c r="N96" s="155" t="str">
        <f>IF($P96&lt;&gt;"",IF(MAXIFS(Investment!$M:$M,Investment!$H:$H,LEFT($P96,30)&amp;"*"),MAXIFS(Investment!$M:$M,Investment!$H:$H,LEFT($P96,30)&amp;"*"),),)</f>
        <v/>
      </c>
      <c r="O96" s="158" t="str">
        <f>IF($P96&lt;&gt;"",IF(MAXIFS(Investment!$AH:$AH,Investment!$H:$H,LEFT($P96,30)&amp;"*"),MAXIFS(Investment!$AH:$AH,Investment!$H:$H,LEFT($P96,30)&amp;"*"),),)</f>
        <v/>
      </c>
      <c r="P96" s="141"/>
      <c r="Q96" s="145"/>
      <c r="R96" s="138"/>
    </row>
    <row r="97">
      <c r="A97" s="122">
        <v>43571.0</v>
      </c>
      <c r="B97" s="124" t="s">
        <v>343</v>
      </c>
      <c r="C97" s="124" t="s">
        <v>344</v>
      </c>
      <c r="D97" s="124" t="s">
        <v>319</v>
      </c>
      <c r="E97" s="125">
        <v>-25.0</v>
      </c>
      <c r="F97" s="126">
        <v>48.99</v>
      </c>
      <c r="G97" s="128">
        <v>1224.75</v>
      </c>
      <c r="H97" s="130" t="s">
        <v>609</v>
      </c>
      <c r="I97" s="138">
        <f t="shared" ref="I97:J97" si="99">IFS(AND($B97&lt;&gt;"",$E97&lt;&gt;""),IF(INDEX(N:N,MATCH($C97,$P:$P,0),1)&lt;&gt;"",$E97*INDEX(N:N,MATCH($C97,$P:$P,0),1)+$G97,""),AND($B97&lt;&gt;"",$D97="COST",$G97&lt;0),$G97,TRUE,)</f>
        <v>7.225</v>
      </c>
      <c r="J97" s="138">
        <f t="shared" si="99"/>
        <v>64.51953125</v>
      </c>
      <c r="K97" s="141" t="str">
        <f t="shared" si="3"/>
        <v>Vanguard S&amp;P 500 UCITS</v>
      </c>
      <c r="L97" s="145">
        <f t="shared" si="4"/>
        <v>4293</v>
      </c>
      <c r="M97" s="148">
        <f t="shared" si="5"/>
        <v>-183260.93</v>
      </c>
      <c r="N97" s="155" t="str">
        <f>IF($P97&lt;&gt;"",IF(MAXIFS(Investment!$M:$M,Investment!$H:$H,LEFT($P97,30)&amp;"*"),MAXIFS(Investment!$M:$M,Investment!$H:$H,LEFT($P97,30)&amp;"*"),),)</f>
        <v/>
      </c>
      <c r="O97" s="158" t="str">
        <f>IF($P97&lt;&gt;"",IF(MAXIFS(Investment!$AH:$AH,Investment!$H:$H,LEFT($P97,30)&amp;"*"),MAXIFS(Investment!$AH:$AH,Investment!$H:$H,LEFT($P97,30)&amp;"*"),),)</f>
        <v/>
      </c>
      <c r="P97" s="141"/>
      <c r="Q97" s="145"/>
      <c r="R97" s="138"/>
    </row>
    <row r="98">
      <c r="A98" s="122">
        <v>43570.0</v>
      </c>
      <c r="B98" s="124" t="s">
        <v>343</v>
      </c>
      <c r="C98" s="124" t="s">
        <v>344</v>
      </c>
      <c r="D98" s="124" t="s">
        <v>319</v>
      </c>
      <c r="E98" s="125">
        <v>-25.0</v>
      </c>
      <c r="F98" s="126">
        <v>48.7952</v>
      </c>
      <c r="G98" s="128">
        <v>1219.88</v>
      </c>
      <c r="H98" s="130" t="s">
        <v>610</v>
      </c>
      <c r="I98" s="138">
        <f t="shared" ref="I98:J98" si="100">IFS(AND($B98&lt;&gt;"",$E98&lt;&gt;""),IF(INDEX(N:N,MATCH($C98,$P:$P,0),1)&lt;&gt;"",$E98*INDEX(N:N,MATCH($C98,$P:$P,0),1)+$G98,""),AND($B98&lt;&gt;"",$D98="COST",$G98&lt;0),$G98,TRUE,)</f>
        <v>2.355</v>
      </c>
      <c r="J98" s="138">
        <f t="shared" si="100"/>
        <v>59.64953125</v>
      </c>
      <c r="K98" s="141" t="str">
        <f t="shared" si="3"/>
        <v>Vanguard S&amp;P 500 UCITS</v>
      </c>
      <c r="L98" s="145">
        <f t="shared" si="4"/>
        <v>4293</v>
      </c>
      <c r="M98" s="148">
        <f t="shared" si="5"/>
        <v>-183260.93</v>
      </c>
      <c r="N98" s="155" t="str">
        <f>IF($P98&lt;&gt;"",IF(MAXIFS(Investment!$M:$M,Investment!$H:$H,LEFT($P98,30)&amp;"*"),MAXIFS(Investment!$M:$M,Investment!$H:$H,LEFT($P98,30)&amp;"*"),),)</f>
        <v/>
      </c>
      <c r="O98" s="158" t="str">
        <f>IF($P98&lt;&gt;"",IF(MAXIFS(Investment!$AH:$AH,Investment!$H:$H,LEFT($P98,30)&amp;"*"),MAXIFS(Investment!$AH:$AH,Investment!$H:$H,LEFT($P98,30)&amp;"*"),),)</f>
        <v/>
      </c>
      <c r="P98" s="141"/>
      <c r="Q98" s="145"/>
      <c r="R98" s="138"/>
    </row>
    <row r="99">
      <c r="A99" s="122">
        <v>43567.0</v>
      </c>
      <c r="B99" s="124" t="s">
        <v>268</v>
      </c>
      <c r="C99" s="124" t="s">
        <v>270</v>
      </c>
      <c r="D99" s="124" t="s">
        <v>330</v>
      </c>
      <c r="E99" s="125">
        <v>60580.0</v>
      </c>
      <c r="F99" s="126">
        <v>4.098</v>
      </c>
      <c r="G99" s="128">
        <v>-248256.84</v>
      </c>
      <c r="H99" s="130" t="s">
        <v>614</v>
      </c>
      <c r="I99" s="138">
        <f t="shared" ref="I99:J99" si="101">IFS(AND($B99&lt;&gt;"",$E99&lt;&gt;""),IF(INDEX(N:N,MATCH($C99,$P:$P,0),1)&lt;&gt;"",$E99*INDEX(N:N,MATCH($C99,$P:$P,0),1)+$G99,""),AND($B99&lt;&gt;"",$D99="COST",$G99&lt;0),$G99,TRUE,)</f>
        <v>15023.84</v>
      </c>
      <c r="J99" s="138">
        <f t="shared" si="101"/>
        <v>-7003.391129</v>
      </c>
      <c r="K99" s="141" t="str">
        <f t="shared" si="3"/>
        <v>iShares Treasury Bond 20+ UCITS</v>
      </c>
      <c r="L99" s="145">
        <f t="shared" si="4"/>
        <v>62993</v>
      </c>
      <c r="M99" s="148">
        <f t="shared" si="5"/>
        <v>-252853.59</v>
      </c>
      <c r="N99" s="155" t="str">
        <f>IF($P99&lt;&gt;"",IF(MAXIFS(Investment!$M:$M,Investment!$H:$H,LEFT($P99,30)&amp;"*"),MAXIFS(Investment!$M:$M,Investment!$H:$H,LEFT($P99,30)&amp;"*"),),)</f>
        <v/>
      </c>
      <c r="O99" s="158" t="str">
        <f>IF($P99&lt;&gt;"",IF(MAXIFS(Investment!$AH:$AH,Investment!$H:$H,LEFT($P99,30)&amp;"*"),MAXIFS(Investment!$AH:$AH,Investment!$H:$H,LEFT($P99,30)&amp;"*"),),)</f>
        <v/>
      </c>
      <c r="P99" s="141"/>
      <c r="Q99" s="145"/>
      <c r="R99" s="138"/>
    </row>
    <row r="100">
      <c r="A100" s="122">
        <v>43567.0</v>
      </c>
      <c r="B100" s="124" t="s">
        <v>268</v>
      </c>
      <c r="C100" s="124" t="s">
        <v>270</v>
      </c>
      <c r="D100" s="124" t="s">
        <v>378</v>
      </c>
      <c r="E100" s="125"/>
      <c r="F100" s="126"/>
      <c r="G100" s="128">
        <v>-51.65</v>
      </c>
      <c r="H100" s="130" t="s">
        <v>615</v>
      </c>
      <c r="I100" s="138">
        <f t="shared" ref="I100:J100" si="102">IFS(AND($B100&lt;&gt;"",$E100&lt;&gt;""),IF(INDEX(N:N,MATCH($C100,$P:$P,0),1)&lt;&gt;"",$E100*INDEX(N:N,MATCH($C100,$P:$P,0),1)+$G100,""),AND($B100&lt;&gt;"",$D100="COST",$G100&lt;0),$G100,TRUE,)</f>
        <v>-51.65</v>
      </c>
      <c r="J100" s="138">
        <f t="shared" si="102"/>
        <v>-51.65</v>
      </c>
      <c r="K100" s="141" t="str">
        <f t="shared" si="3"/>
        <v>iShares Treasury Bond 20+ UCITS</v>
      </c>
      <c r="L100" s="145">
        <f t="shared" si="4"/>
        <v>62993</v>
      </c>
      <c r="M100" s="148">
        <f t="shared" si="5"/>
        <v>-252853.59</v>
      </c>
      <c r="N100" s="155" t="str">
        <f>IF($P100&lt;&gt;"",IF(MAXIFS(Investment!$M:$M,Investment!$H:$H,LEFT($P100,30)&amp;"*"),MAXIFS(Investment!$M:$M,Investment!$H:$H,LEFT($P100,30)&amp;"*"),),)</f>
        <v/>
      </c>
      <c r="O100" s="158" t="str">
        <f>IF($P100&lt;&gt;"",IF(MAXIFS(Investment!$AH:$AH,Investment!$H:$H,LEFT($P100,30)&amp;"*"),MAXIFS(Investment!$AH:$AH,Investment!$H:$H,LEFT($P100,30)&amp;"*"),),)</f>
        <v/>
      </c>
      <c r="P100" s="141"/>
      <c r="Q100" s="145"/>
      <c r="R100" s="138"/>
    </row>
    <row r="101">
      <c r="A101" s="122">
        <v>43567.0</v>
      </c>
      <c r="B101" s="124" t="s">
        <v>268</v>
      </c>
      <c r="C101" s="124" t="s">
        <v>270</v>
      </c>
      <c r="D101" s="124" t="s">
        <v>330</v>
      </c>
      <c r="E101" s="125">
        <v>12775.0</v>
      </c>
      <c r="F101" s="126">
        <v>4.098</v>
      </c>
      <c r="G101" s="128">
        <v>-52351.56</v>
      </c>
      <c r="H101" s="130" t="s">
        <v>618</v>
      </c>
      <c r="I101" s="138">
        <f t="shared" ref="I101:J101" si="103">IFS(AND($B101&lt;&gt;"",$E101&lt;&gt;""),IF(INDEX(N:N,MATCH($C101,$P:$P,0),1)&lt;&gt;"",$E101*INDEX(N:N,MATCH($C101,$P:$P,0),1)+$G101,""),AND($B101&lt;&gt;"",$D101="COST",$G101&lt;0),$G101,TRUE,)</f>
        <v>3168.59</v>
      </c>
      <c r="J101" s="138">
        <f t="shared" si="103"/>
        <v>-1476.472358</v>
      </c>
      <c r="K101" s="141" t="str">
        <f t="shared" si="3"/>
        <v>iShares Treasury Bond 20+ UCITS</v>
      </c>
      <c r="L101" s="145">
        <f t="shared" si="4"/>
        <v>62993</v>
      </c>
      <c r="M101" s="148">
        <f t="shared" si="5"/>
        <v>-252853.59</v>
      </c>
      <c r="N101" s="155" t="str">
        <f>IF($P101&lt;&gt;"",IF(MAXIFS(Investment!$M:$M,Investment!$H:$H,LEFT($P101,30)&amp;"*"),MAXIFS(Investment!$M:$M,Investment!$H:$H,LEFT($P101,30)&amp;"*"),),)</f>
        <v/>
      </c>
      <c r="O101" s="158" t="str">
        <f>IF($P101&lt;&gt;"",IF(MAXIFS(Investment!$AH:$AH,Investment!$H:$H,LEFT($P101,30)&amp;"*"),MAXIFS(Investment!$AH:$AH,Investment!$H:$H,LEFT($P101,30)&amp;"*"),),)</f>
        <v/>
      </c>
      <c r="P101" s="141"/>
      <c r="Q101" s="145"/>
      <c r="R101" s="138"/>
    </row>
    <row r="102">
      <c r="A102" s="122">
        <v>43567.0</v>
      </c>
      <c r="B102" s="124" t="s">
        <v>268</v>
      </c>
      <c r="C102" s="124" t="s">
        <v>270</v>
      </c>
      <c r="D102" s="124" t="s">
        <v>378</v>
      </c>
      <c r="E102" s="125"/>
      <c r="F102" s="126"/>
      <c r="G102" s="128">
        <v>-12.47</v>
      </c>
      <c r="H102" s="130" t="s">
        <v>619</v>
      </c>
      <c r="I102" s="138">
        <f t="shared" ref="I102:J102" si="104">IFS(AND($B102&lt;&gt;"",$E102&lt;&gt;""),IF(INDEX(N:N,MATCH($C102,$P:$P,0),1)&lt;&gt;"",$E102*INDEX(N:N,MATCH($C102,$P:$P,0),1)+$G102,""),AND($B102&lt;&gt;"",$D102="COST",$G102&lt;0),$G102,TRUE,)</f>
        <v>-12.47</v>
      </c>
      <c r="J102" s="138">
        <f t="shared" si="104"/>
        <v>-12.47</v>
      </c>
      <c r="K102" s="141" t="str">
        <f t="shared" si="3"/>
        <v>iShares Treasury Bond 20+ UCITS</v>
      </c>
      <c r="L102" s="145">
        <f t="shared" si="4"/>
        <v>62993</v>
      </c>
      <c r="M102" s="148">
        <f t="shared" si="5"/>
        <v>-252853.59</v>
      </c>
      <c r="N102" s="155" t="str">
        <f>IF($P102&lt;&gt;"",IF(MAXIFS(Investment!$M:$M,Investment!$H:$H,LEFT($P102,30)&amp;"*"),MAXIFS(Investment!$M:$M,Investment!$H:$H,LEFT($P102,30)&amp;"*"),),)</f>
        <v/>
      </c>
      <c r="O102" s="158" t="str">
        <f>IF($P102&lt;&gt;"",IF(MAXIFS(Investment!$AH:$AH,Investment!$H:$H,LEFT($P102,30)&amp;"*"),MAXIFS(Investment!$AH:$AH,Investment!$H:$H,LEFT($P102,30)&amp;"*"),),)</f>
        <v/>
      </c>
      <c r="P102" s="141"/>
      <c r="Q102" s="145"/>
      <c r="R102" s="138"/>
    </row>
    <row r="103">
      <c r="A103" s="122">
        <v>43567.0</v>
      </c>
      <c r="B103" s="124" t="s">
        <v>343</v>
      </c>
      <c r="C103" s="124" t="s">
        <v>344</v>
      </c>
      <c r="D103" s="124" t="s">
        <v>319</v>
      </c>
      <c r="E103" s="125">
        <v>-26.0</v>
      </c>
      <c r="F103" s="126">
        <v>48.69</v>
      </c>
      <c r="G103" s="128">
        <v>1265.94</v>
      </c>
      <c r="H103" s="130" t="s">
        <v>623</v>
      </c>
      <c r="I103" s="138">
        <f t="shared" ref="I103:J103" si="105">IFS(AND($B103&lt;&gt;"",$E103&lt;&gt;""),IF(INDEX(N:N,MATCH($C103,$P:$P,0),1)&lt;&gt;"",$E103*INDEX(N:N,MATCH($C103,$P:$P,0),1)+$G103,""),AND($B103&lt;&gt;"",$D103="COST",$G103&lt;0),$G103,TRUE,)</f>
        <v>-0.286</v>
      </c>
      <c r="J103" s="138">
        <f t="shared" si="105"/>
        <v>59.3003125</v>
      </c>
      <c r="K103" s="141" t="str">
        <f t="shared" si="3"/>
        <v>Vanguard S&amp;P 500 UCITS</v>
      </c>
      <c r="L103" s="145">
        <f t="shared" si="4"/>
        <v>4293</v>
      </c>
      <c r="M103" s="148">
        <f t="shared" si="5"/>
        <v>-183260.93</v>
      </c>
      <c r="N103" s="155" t="str">
        <f>IF($P103&lt;&gt;"",IF(MAXIFS(Investment!$M:$M,Investment!$H:$H,LEFT($P103,30)&amp;"*"),MAXIFS(Investment!$M:$M,Investment!$H:$H,LEFT($P103,30)&amp;"*"),),)</f>
        <v/>
      </c>
      <c r="O103" s="158" t="str">
        <f>IF($P103&lt;&gt;"",IF(MAXIFS(Investment!$AH:$AH,Investment!$H:$H,LEFT($P103,30)&amp;"*"),MAXIFS(Investment!$AH:$AH,Investment!$H:$H,LEFT($P103,30)&amp;"*"),),)</f>
        <v/>
      </c>
      <c r="P103" s="141"/>
      <c r="Q103" s="145"/>
      <c r="R103" s="138"/>
    </row>
    <row r="104">
      <c r="A104" s="122">
        <v>43566.0</v>
      </c>
      <c r="B104" s="124" t="s">
        <v>343</v>
      </c>
      <c r="C104" s="124" t="s">
        <v>344</v>
      </c>
      <c r="D104" s="124" t="s">
        <v>272</v>
      </c>
      <c r="E104" s="252"/>
      <c r="F104" s="254"/>
      <c r="G104" s="128">
        <v>-125.08</v>
      </c>
      <c r="H104" s="130" t="s">
        <v>626</v>
      </c>
      <c r="I104" s="138" t="str">
        <f t="shared" ref="I104:J104" si="106">IFS(AND($B104&lt;&gt;"",$E104&lt;&gt;""),IF(INDEX(N:N,MATCH($C104,$P:$P,0),1)&lt;&gt;"",$E104*INDEX(N:N,MATCH($C104,$P:$P,0),1)+$G104,""),AND($B104&lt;&gt;"",$D104="COST",$G104&lt;0),$G104,TRUE,)</f>
        <v/>
      </c>
      <c r="J104" s="138" t="str">
        <f t="shared" si="106"/>
        <v/>
      </c>
      <c r="K104" s="141" t="str">
        <f t="shared" si="3"/>
        <v>Vanguard S&amp;P 500 UCITS</v>
      </c>
      <c r="L104" s="145">
        <f t="shared" si="4"/>
        <v>4293</v>
      </c>
      <c r="M104" s="148">
        <f t="shared" si="5"/>
        <v>-183260.93</v>
      </c>
      <c r="N104" s="155" t="str">
        <f>IF($P104&lt;&gt;"",IF(MAXIFS(Investment!$M:$M,Investment!$H:$H,LEFT($P104,30)&amp;"*"),MAXIFS(Investment!$M:$M,Investment!$H:$H,LEFT($P104,30)&amp;"*"),),)</f>
        <v/>
      </c>
      <c r="O104" s="158" t="str">
        <f>IF($P104&lt;&gt;"",IF(MAXIFS(Investment!$AH:$AH,Investment!$H:$H,LEFT($P104,30)&amp;"*"),MAXIFS(Investment!$AH:$AH,Investment!$H:$H,LEFT($P104,30)&amp;"*"),),)</f>
        <v/>
      </c>
      <c r="P104" s="141"/>
      <c r="Q104" s="145"/>
      <c r="R104" s="138"/>
    </row>
    <row r="105">
      <c r="A105" s="122">
        <v>43565.0</v>
      </c>
      <c r="B105" s="124" t="s">
        <v>343</v>
      </c>
      <c r="C105" s="124" t="s">
        <v>344</v>
      </c>
      <c r="D105" s="124" t="s">
        <v>272</v>
      </c>
      <c r="E105" s="125"/>
      <c r="F105" s="126"/>
      <c r="G105" s="128">
        <v>17.94</v>
      </c>
      <c r="H105" s="249" t="s">
        <v>634</v>
      </c>
      <c r="I105" s="138" t="str">
        <f t="shared" ref="I105:J105" si="107">IFS(AND($B105&lt;&gt;"",$E105&lt;&gt;""),IF(INDEX(N:N,MATCH($C105,$P:$P,0),1)&lt;&gt;"",$E105*INDEX(N:N,MATCH($C105,$P:$P,0),1)+$G105,""),AND($B105&lt;&gt;"",$D105="COST",$G105&lt;0),$G105,TRUE,)</f>
        <v/>
      </c>
      <c r="J105" s="138" t="str">
        <f t="shared" si="107"/>
        <v/>
      </c>
      <c r="K105" s="141" t="str">
        <f t="shared" si="3"/>
        <v>Vanguard S&amp;P 500 UCITS</v>
      </c>
      <c r="L105" s="145">
        <f t="shared" si="4"/>
        <v>4293</v>
      </c>
      <c r="M105" s="148">
        <f t="shared" si="5"/>
        <v>-183260.93</v>
      </c>
      <c r="N105" s="155" t="str">
        <f>IF($P105&lt;&gt;"",IF(MAXIFS(Investment!$M:$M,Investment!$H:$H,LEFT($P105,30)&amp;"*"),MAXIFS(Investment!$M:$M,Investment!$H:$H,LEFT($P105,30)&amp;"*"),),)</f>
        <v/>
      </c>
      <c r="O105" s="158" t="str">
        <f>IF($P105&lt;&gt;"",IF(MAXIFS(Investment!$AH:$AH,Investment!$H:$H,LEFT($P105,30)&amp;"*"),MAXIFS(Investment!$AH:$AH,Investment!$H:$H,LEFT($P105,30)&amp;"*"),),)</f>
        <v/>
      </c>
      <c r="P105" s="141"/>
      <c r="Q105" s="145"/>
      <c r="R105" s="138"/>
    </row>
    <row r="106">
      <c r="A106" s="122">
        <v>43565.0</v>
      </c>
      <c r="B106" s="124" t="s">
        <v>343</v>
      </c>
      <c r="C106" s="124" t="s">
        <v>344</v>
      </c>
      <c r="D106" s="124" t="s">
        <v>272</v>
      </c>
      <c r="E106" s="252"/>
      <c r="F106" s="254"/>
      <c r="G106" s="128">
        <v>1098.21</v>
      </c>
      <c r="H106" s="130" t="s">
        <v>637</v>
      </c>
      <c r="I106" s="138" t="str">
        <f t="shared" ref="I106:J106" si="108">IFS(AND($B106&lt;&gt;"",$E106&lt;&gt;""),IF(INDEX(N:N,MATCH($C106,$P:$P,0),1)&lt;&gt;"",$E106*INDEX(N:N,MATCH($C106,$P:$P,0),1)+$G106,""),AND($B106&lt;&gt;"",$D106="COST",$G106&lt;0),$G106,TRUE,)</f>
        <v/>
      </c>
      <c r="J106" s="138" t="str">
        <f t="shared" si="108"/>
        <v/>
      </c>
      <c r="K106" s="141" t="str">
        <f t="shared" si="3"/>
        <v>Vanguard S&amp;P 500 UCITS</v>
      </c>
      <c r="L106" s="145">
        <f t="shared" si="4"/>
        <v>4293</v>
      </c>
      <c r="M106" s="148">
        <f t="shared" si="5"/>
        <v>-183260.93</v>
      </c>
      <c r="N106" s="155" t="str">
        <f>IF($P106&lt;&gt;"",IF(MAXIFS(Investment!$M:$M,Investment!$H:$H,LEFT($P106,30)&amp;"*"),MAXIFS(Investment!$M:$M,Investment!$H:$H,LEFT($P106,30)&amp;"*"),),)</f>
        <v/>
      </c>
      <c r="O106" s="158" t="str">
        <f>IF($P106&lt;&gt;"",IF(MAXIFS(Investment!$AH:$AH,Investment!$H:$H,LEFT($P106,30)&amp;"*"),MAXIFS(Investment!$AH:$AH,Investment!$H:$H,LEFT($P106,30)&amp;"*"),),)</f>
        <v/>
      </c>
      <c r="P106" s="141"/>
      <c r="Q106" s="145"/>
      <c r="R106" s="138"/>
    </row>
    <row r="107">
      <c r="A107" s="240">
        <v>43560.0</v>
      </c>
      <c r="B107" s="156" t="s">
        <v>343</v>
      </c>
      <c r="C107" s="124" t="s">
        <v>344</v>
      </c>
      <c r="D107" s="156" t="s">
        <v>319</v>
      </c>
      <c r="E107" s="252">
        <v>-30.0</v>
      </c>
      <c r="F107" s="254">
        <v>48.75</v>
      </c>
      <c r="G107" s="138">
        <v>1462.5</v>
      </c>
      <c r="H107" s="130" t="s">
        <v>642</v>
      </c>
      <c r="I107" s="138">
        <f t="shared" ref="I107:J107" si="109">IFS(AND($B107&lt;&gt;"",$E107&lt;&gt;""),IF(INDEX(N:N,MATCH($C107,$P:$P,0),1)&lt;&gt;"",$E107*INDEX(N:N,MATCH($C107,$P:$P,0),1)+$G107,""),AND($B107&lt;&gt;"",$D107="COST",$G107&lt;0),$G107,TRUE,)</f>
        <v>1.47</v>
      </c>
      <c r="J107" s="138">
        <f t="shared" si="109"/>
        <v>70.2234375</v>
      </c>
      <c r="K107" s="141" t="str">
        <f t="shared" si="3"/>
        <v>Vanguard S&amp;P 500 UCITS</v>
      </c>
      <c r="L107" s="145">
        <f t="shared" si="4"/>
        <v>4293</v>
      </c>
      <c r="M107" s="148">
        <f t="shared" si="5"/>
        <v>-183260.93</v>
      </c>
      <c r="N107" s="155" t="str">
        <f>IF($P107&lt;&gt;"",IF(MAXIFS(Investment!$M:$M,Investment!$H:$H,LEFT($P107,30)&amp;"*"),MAXIFS(Investment!$M:$M,Investment!$H:$H,LEFT($P107,30)&amp;"*"),),)</f>
        <v/>
      </c>
      <c r="O107" s="158" t="str">
        <f>IF($P107&lt;&gt;"",IF(MAXIFS(Investment!$AH:$AH,Investment!$H:$H,LEFT($P107,30)&amp;"*"),MAXIFS(Investment!$AH:$AH,Investment!$H:$H,LEFT($P107,30)&amp;"*"),),)</f>
        <v/>
      </c>
      <c r="P107" s="141"/>
      <c r="Q107" s="145"/>
      <c r="R107" s="138"/>
    </row>
    <row r="108">
      <c r="A108" s="122">
        <v>43560.0</v>
      </c>
      <c r="B108" s="55" t="s">
        <v>328</v>
      </c>
      <c r="C108" s="55" t="s">
        <v>329</v>
      </c>
      <c r="D108" s="55" t="s">
        <v>319</v>
      </c>
      <c r="E108" s="50">
        <v>-155.0</v>
      </c>
      <c r="F108" s="264">
        <v>7.44</v>
      </c>
      <c r="G108" s="128">
        <v>1153.2</v>
      </c>
      <c r="H108" s="130" t="s">
        <v>648</v>
      </c>
      <c r="I108" s="138">
        <f t="shared" ref="I108:J108" si="110">IFS(AND($B108&lt;&gt;"",$E108&lt;&gt;""),IF(INDEX(N:N,MATCH($C108,$P:$P,0),1)&lt;&gt;"",$E108*INDEX(N:N,MATCH($C108,$P:$P,0),1)+$G108,""),AND($B108&lt;&gt;"",$D108="COST",$G108&lt;0),$G108,TRUE,)</f>
        <v>36.89</v>
      </c>
      <c r="J108" s="138">
        <f t="shared" si="110"/>
        <v>18.38748047</v>
      </c>
      <c r="K108" s="141" t="str">
        <f t="shared" si="3"/>
        <v>ETFS All Commodities ETC</v>
      </c>
      <c r="L108" s="145">
        <f t="shared" si="4"/>
        <v>11470</v>
      </c>
      <c r="M108" s="148">
        <f t="shared" si="5"/>
        <v>-83154.49</v>
      </c>
      <c r="N108" s="155" t="str">
        <f>IF($P108&lt;&gt;"",IF(MAXIFS(Investment!$M:$M,Investment!$H:$H,LEFT($P108,30)&amp;"*"),MAXIFS(Investment!$M:$M,Investment!$H:$H,LEFT($P108,30)&amp;"*"),),)</f>
        <v/>
      </c>
      <c r="O108" s="158" t="str">
        <f>IF($P108&lt;&gt;"",IF(MAXIFS(Investment!$AH:$AH,Investment!$H:$H,LEFT($P108,30)&amp;"*"),MAXIFS(Investment!$AH:$AH,Investment!$H:$H,LEFT($P108,30)&amp;"*"),),)</f>
        <v/>
      </c>
      <c r="P108" s="141"/>
      <c r="Q108" s="145"/>
      <c r="R108" s="138"/>
    </row>
    <row r="109">
      <c r="A109" s="122">
        <v>43557.0</v>
      </c>
      <c r="B109" s="55" t="s">
        <v>328</v>
      </c>
      <c r="C109" s="55" t="s">
        <v>329</v>
      </c>
      <c r="D109" s="55" t="s">
        <v>319</v>
      </c>
      <c r="E109" s="50">
        <v>-145.0</v>
      </c>
      <c r="F109" s="264">
        <v>7.432</v>
      </c>
      <c r="G109" s="128">
        <v>1077.64</v>
      </c>
      <c r="H109" s="130" t="s">
        <v>649</v>
      </c>
      <c r="I109" s="138">
        <f t="shared" ref="I109:J109" si="111">IFS(AND($B109&lt;&gt;"",$E109&lt;&gt;""),IF(INDEX(N:N,MATCH($C109,$P:$P,0),1)&lt;&gt;"",$E109*INDEX(N:N,MATCH($C109,$P:$P,0),1)+$G109,""),AND($B109&lt;&gt;"",$D109="COST",$G109&lt;0),$G109,TRUE,)</f>
        <v>33.35</v>
      </c>
      <c r="J109" s="138">
        <f t="shared" si="111"/>
        <v>16.04119141</v>
      </c>
      <c r="K109" s="141" t="str">
        <f t="shared" si="3"/>
        <v>ETFS All Commodities ETC</v>
      </c>
      <c r="L109" s="145">
        <f t="shared" si="4"/>
        <v>11470</v>
      </c>
      <c r="M109" s="148">
        <f t="shared" si="5"/>
        <v>-83154.49</v>
      </c>
      <c r="N109" s="155" t="str">
        <f>IF($P109&lt;&gt;"",IF(MAXIFS(Investment!$M:$M,Investment!$H:$H,LEFT($P109,30)&amp;"*"),MAXIFS(Investment!$M:$M,Investment!$H:$H,LEFT($P109,30)&amp;"*"),),)</f>
        <v/>
      </c>
      <c r="O109" s="158" t="str">
        <f>IF($P109&lt;&gt;"",IF(MAXIFS(Investment!$AH:$AH,Investment!$H:$H,LEFT($P109,30)&amp;"*"),MAXIFS(Investment!$AH:$AH,Investment!$H:$H,LEFT($P109,30)&amp;"*"),),)</f>
        <v/>
      </c>
      <c r="P109" s="141"/>
      <c r="Q109" s="145"/>
      <c r="R109" s="138"/>
    </row>
    <row r="110">
      <c r="A110" s="122">
        <v>43557.0</v>
      </c>
      <c r="B110" s="55" t="s">
        <v>328</v>
      </c>
      <c r="C110" s="55" t="s">
        <v>329</v>
      </c>
      <c r="D110" s="55" t="s">
        <v>319</v>
      </c>
      <c r="E110" s="50">
        <v>-220.0</v>
      </c>
      <c r="F110" s="264">
        <v>7.42</v>
      </c>
      <c r="G110" s="128">
        <v>1632.4</v>
      </c>
      <c r="H110" s="130" t="s">
        <v>650</v>
      </c>
      <c r="I110" s="138">
        <f t="shared" ref="I110:J110" si="112">IFS(AND($B110&lt;&gt;"",$E110&lt;&gt;""),IF(INDEX(N:N,MATCH($C110,$P:$P,0),1)&lt;&gt;"",$E110*INDEX(N:N,MATCH($C110,$P:$P,0),1)+$G110,""),AND($B110&lt;&gt;"",$D110="COST",$G110&lt;0),$G110,TRUE,)</f>
        <v>47.96</v>
      </c>
      <c r="J110" s="138">
        <f t="shared" si="112"/>
        <v>21.69835938</v>
      </c>
      <c r="K110" s="141" t="str">
        <f t="shared" si="3"/>
        <v>ETFS All Commodities ETC</v>
      </c>
      <c r="L110" s="145">
        <f t="shared" si="4"/>
        <v>11470</v>
      </c>
      <c r="M110" s="148">
        <f t="shared" si="5"/>
        <v>-83154.49</v>
      </c>
      <c r="N110" s="155" t="str">
        <f>IF($P110&lt;&gt;"",IF(MAXIFS(Investment!$M:$M,Investment!$H:$H,LEFT($P110,30)&amp;"*"),MAXIFS(Investment!$M:$M,Investment!$H:$H,LEFT($P110,30)&amp;"*"),),)</f>
        <v/>
      </c>
      <c r="O110" s="158" t="str">
        <f>IF($P110&lt;&gt;"",IF(MAXIFS(Investment!$AH:$AH,Investment!$H:$H,LEFT($P110,30)&amp;"*"),MAXIFS(Investment!$AH:$AH,Investment!$H:$H,LEFT($P110,30)&amp;"*"),),)</f>
        <v/>
      </c>
      <c r="P110" s="141"/>
      <c r="Q110" s="145"/>
      <c r="R110" s="138"/>
    </row>
    <row r="111">
      <c r="A111" s="122">
        <v>43557.0</v>
      </c>
      <c r="B111" s="55" t="s">
        <v>328</v>
      </c>
      <c r="C111" s="55" t="s">
        <v>329</v>
      </c>
      <c r="D111" s="55" t="s">
        <v>319</v>
      </c>
      <c r="E111" s="50">
        <v>-200.0</v>
      </c>
      <c r="F111" s="264">
        <v>7.42</v>
      </c>
      <c r="G111" s="128">
        <v>1484.0</v>
      </c>
      <c r="H111" s="130" t="s">
        <v>662</v>
      </c>
      <c r="I111" s="138">
        <f t="shared" ref="I111:J111" si="113">IFS(AND($B111&lt;&gt;"",$E111&lt;&gt;""),IF(INDEX(N:N,MATCH($C111,$P:$P,0),1)&lt;&gt;"",$E111*INDEX(N:N,MATCH($C111,$P:$P,0),1)+$G111,""),AND($B111&lt;&gt;"",$D111="COST",$G111&lt;0),$G111,TRUE,)</f>
        <v>43.6</v>
      </c>
      <c r="J111" s="138">
        <f t="shared" si="113"/>
        <v>19.72578125</v>
      </c>
      <c r="K111" s="141" t="str">
        <f t="shared" si="3"/>
        <v>ETFS All Commodities ETC</v>
      </c>
      <c r="L111" s="145">
        <f t="shared" si="4"/>
        <v>11470</v>
      </c>
      <c r="M111" s="148">
        <f t="shared" si="5"/>
        <v>-83154.49</v>
      </c>
      <c r="N111" s="155" t="str">
        <f>IF($P111&lt;&gt;"",IF(MAXIFS(Investment!$M:$M,Investment!$H:$H,LEFT($P111,30)&amp;"*"),MAXIFS(Investment!$M:$M,Investment!$H:$H,LEFT($P111,30)&amp;"*"),),)</f>
        <v/>
      </c>
      <c r="O111" s="158" t="str">
        <f>IF($P111&lt;&gt;"",IF(MAXIFS(Investment!$AH:$AH,Investment!$H:$H,LEFT($P111,30)&amp;"*"),MAXIFS(Investment!$AH:$AH,Investment!$H:$H,LEFT($P111,30)&amp;"*"),),)</f>
        <v/>
      </c>
      <c r="P111" s="141"/>
      <c r="Q111" s="145"/>
      <c r="R111" s="138"/>
    </row>
    <row r="112">
      <c r="A112" s="200">
        <v>43556.0</v>
      </c>
      <c r="B112" s="202"/>
      <c r="C112" s="202"/>
      <c r="D112" s="202" t="s">
        <v>312</v>
      </c>
      <c r="E112" s="204"/>
      <c r="F112" s="206"/>
      <c r="G112" s="208">
        <v>-500.0</v>
      </c>
      <c r="H112" s="209" t="s">
        <v>484</v>
      </c>
      <c r="I112" s="168" t="str">
        <f t="shared" ref="I112:J112" si="114">IFS(AND($B112&lt;&gt;"",$E112&lt;&gt;""),IF(INDEX(N:N,MATCH($C112,$P:$P,0),1)&lt;&gt;"",$E112*INDEX(N:N,MATCH($C112,$P:$P,0),1)+$G112,""),AND($B112&lt;&gt;"",$D112="COST",$G112&lt;0),$G112,TRUE,)</f>
        <v/>
      </c>
      <c r="J112" s="168" t="str">
        <f t="shared" si="114"/>
        <v/>
      </c>
      <c r="K112" s="266" t="str">
        <f t="shared" si="3"/>
        <v/>
      </c>
      <c r="L112" s="156" t="str">
        <f t="shared" si="4"/>
        <v/>
      </c>
      <c r="M112" s="156" t="str">
        <f t="shared" si="5"/>
        <v/>
      </c>
      <c r="N112" s="155" t="str">
        <f>IF($P112&lt;&gt;"",IF(MAXIFS(Investment!$M:$M,Investment!$H:$H,LEFT($P112,30)&amp;"*"),MAXIFS(Investment!$M:$M,Investment!$H:$H,LEFT($P112,30)&amp;"*"),),)</f>
        <v/>
      </c>
      <c r="O112" s="158" t="str">
        <f>IF($P112&lt;&gt;"",IF(MAXIFS(Investment!$AH:$AH,Investment!$H:$H,LEFT($P112,30)&amp;"*"),MAXIFS(Investment!$AH:$AH,Investment!$H:$H,LEFT($P112,30)&amp;"*"),),)</f>
        <v/>
      </c>
      <c r="P112" s="141"/>
      <c r="Q112" s="145"/>
      <c r="R112" s="138"/>
    </row>
    <row r="113">
      <c r="A113" s="214">
        <v>43556.0</v>
      </c>
      <c r="B113" s="216"/>
      <c r="C113" s="216"/>
      <c r="D113" s="216" t="s">
        <v>312</v>
      </c>
      <c r="E113" s="217"/>
      <c r="F113" s="218"/>
      <c r="G113" s="219">
        <v>-500.0</v>
      </c>
      <c r="H113" s="220" t="s">
        <v>484</v>
      </c>
      <c r="I113" s="194" t="str">
        <f t="shared" ref="I113:J113" si="115">IFS(AND($B113&lt;&gt;"",$E113&lt;&gt;""),IF(INDEX(N:N,MATCH($C113,$P:$P,0),1)&lt;&gt;"",$E113*INDEX(N:N,MATCH($C113,$P:$P,0),1)+$G113,""),AND($B113&lt;&gt;"",$D113="COST",$G113&lt;0),$G113,TRUE,)</f>
        <v/>
      </c>
      <c r="J113" s="194" t="str">
        <f t="shared" si="115"/>
        <v/>
      </c>
      <c r="K113" s="266" t="str">
        <f t="shared" si="3"/>
        <v/>
      </c>
      <c r="L113" s="156" t="str">
        <f t="shared" si="4"/>
        <v/>
      </c>
      <c r="M113" s="156" t="str">
        <f t="shared" si="5"/>
        <v/>
      </c>
      <c r="N113" s="155" t="str">
        <f>IF($P113&lt;&gt;"",IF(MAXIFS(Investment!$M:$M,Investment!$H:$H,LEFT($P113,30)&amp;"*"),MAXIFS(Investment!$M:$M,Investment!$H:$H,LEFT($P113,30)&amp;"*"),),)</f>
        <v/>
      </c>
      <c r="O113" s="158" t="str">
        <f>IF($P113&lt;&gt;"",IF(MAXIFS(Investment!$AH:$AH,Investment!$H:$H,LEFT($P113,30)&amp;"*"),MAXIFS(Investment!$AH:$AH,Investment!$H:$H,LEFT($P113,30)&amp;"*"),),)</f>
        <v/>
      </c>
      <c r="P113" s="141"/>
      <c r="Q113" s="145"/>
      <c r="R113" s="138"/>
    </row>
    <row r="114">
      <c r="A114" s="122">
        <v>43556.0</v>
      </c>
      <c r="B114" s="55"/>
      <c r="C114" s="55"/>
      <c r="D114" s="55" t="s">
        <v>312</v>
      </c>
      <c r="E114" s="50"/>
      <c r="F114" s="264"/>
      <c r="G114" s="128">
        <v>-500.0</v>
      </c>
      <c r="H114" s="130" t="s">
        <v>484</v>
      </c>
      <c r="I114" s="138" t="str">
        <f t="shared" ref="I114:J114" si="116">IFS(AND($B114&lt;&gt;"",$E114&lt;&gt;""),IF(INDEX(N:N,MATCH($C114,$P:$P,0),1)&lt;&gt;"",$E114*INDEX(N:N,MATCH($C114,$P:$P,0),1)+$G114,""),AND($B114&lt;&gt;"",$D114="COST",$G114&lt;0),$G114,TRUE,)</f>
        <v/>
      </c>
      <c r="J114" s="138" t="str">
        <f t="shared" si="116"/>
        <v/>
      </c>
      <c r="K114" s="266" t="str">
        <f t="shared" si="3"/>
        <v/>
      </c>
      <c r="L114" s="156" t="str">
        <f t="shared" si="4"/>
        <v/>
      </c>
      <c r="M114" s="156" t="str">
        <f t="shared" si="5"/>
        <v/>
      </c>
      <c r="N114" s="155" t="str">
        <f>IF($P114&lt;&gt;"",IF(MAXIFS(Investment!$M:$M,Investment!$H:$H,LEFT($P114,30)&amp;"*"),MAXIFS(Investment!$M:$M,Investment!$H:$H,LEFT($P114,30)&amp;"*"),),)</f>
        <v/>
      </c>
      <c r="O114" s="158" t="str">
        <f>IF($P114&lt;&gt;"",IF(MAXIFS(Investment!$AH:$AH,Investment!$H:$H,LEFT($P114,30)&amp;"*"),MAXIFS(Investment!$AH:$AH,Investment!$H:$H,LEFT($P114,30)&amp;"*"),),)</f>
        <v/>
      </c>
      <c r="P114" s="141"/>
      <c r="Q114" s="145"/>
      <c r="R114" s="138"/>
    </row>
    <row r="115">
      <c r="A115" s="122">
        <v>43556.0</v>
      </c>
      <c r="B115" s="55"/>
      <c r="C115" s="55"/>
      <c r="D115" s="55" t="s">
        <v>378</v>
      </c>
      <c r="E115" s="50"/>
      <c r="F115" s="264"/>
      <c r="G115" s="128">
        <v>-618.92</v>
      </c>
      <c r="H115" s="130" t="s">
        <v>671</v>
      </c>
      <c r="I115" s="138" t="str">
        <f t="shared" ref="I115:J115" si="117">IFS(AND($B115&lt;&gt;"",$E115&lt;&gt;""),IF(INDEX(N:N,MATCH($C115,$P:$P,0),1)&lt;&gt;"",$E115*INDEX(N:N,MATCH($C115,$P:$P,0),1)+$G115,""),AND($B115&lt;&gt;"",$D115="COST",$G115&lt;0),$G115,TRUE,)</f>
        <v/>
      </c>
      <c r="J115" s="138" t="str">
        <f t="shared" si="117"/>
        <v/>
      </c>
      <c r="K115" s="266" t="str">
        <f t="shared" si="3"/>
        <v/>
      </c>
      <c r="L115" s="156" t="str">
        <f t="shared" si="4"/>
        <v/>
      </c>
      <c r="M115" s="156" t="str">
        <f t="shared" si="5"/>
        <v/>
      </c>
      <c r="N115" s="155" t="str">
        <f>IF($P115&lt;&gt;"",IF(MAXIFS(Investment!$M:$M,Investment!$H:$H,LEFT($P115,30)&amp;"*"),MAXIFS(Investment!$M:$M,Investment!$H:$H,LEFT($P115,30)&amp;"*"),),)</f>
        <v/>
      </c>
      <c r="O115" s="158" t="str">
        <f>IF($P115&lt;&gt;"",IF(MAXIFS(Investment!$AH:$AH,Investment!$H:$H,LEFT($P115,30)&amp;"*"),MAXIFS(Investment!$AH:$AH,Investment!$H:$H,LEFT($P115,30)&amp;"*"),),)</f>
        <v/>
      </c>
      <c r="P115" s="141"/>
      <c r="Q115" s="145"/>
      <c r="R115" s="138"/>
    </row>
    <row r="116">
      <c r="A116" s="122">
        <v>43549.0</v>
      </c>
      <c r="B116" s="55" t="s">
        <v>268</v>
      </c>
      <c r="C116" s="55" t="s">
        <v>673</v>
      </c>
      <c r="D116" s="55" t="s">
        <v>378</v>
      </c>
      <c r="E116" s="50"/>
      <c r="F116" s="264"/>
      <c r="G116" s="128">
        <v>-51.46</v>
      </c>
      <c r="H116" s="130" t="s">
        <v>674</v>
      </c>
      <c r="I116" s="138">
        <f t="shared" ref="I116:J116" si="118">IFS(AND($B116&lt;&gt;"",$E116&lt;&gt;""),IF(INDEX(N:N,MATCH($C116,$P:$P,0),1)&lt;&gt;"",$E116*INDEX(N:N,MATCH($C116,$P:$P,0),1)+$G116,""),AND($B116&lt;&gt;"",$D116="COST",$G116&lt;0),$G116,TRUE,)</f>
        <v>-51.46</v>
      </c>
      <c r="J116" s="138">
        <f t="shared" si="118"/>
        <v>-51.46</v>
      </c>
      <c r="K116" s="266" t="str">
        <f t="shared" si="3"/>
        <v>iShares Treasury Bond 20+ UCITS USD Dist</v>
      </c>
      <c r="L116" s="156">
        <f t="shared" si="4"/>
        <v>0</v>
      </c>
      <c r="M116" s="156">
        <f t="shared" si="5"/>
        <v>27424.23</v>
      </c>
      <c r="N116" s="155" t="str">
        <f>IF($P116&lt;&gt;"",IF(MAXIFS(Investment!$M:$M,Investment!$H:$H,LEFT($P116,30)&amp;"*"),MAXIFS(Investment!$M:$M,Investment!$H:$H,LEFT($P116,30)&amp;"*"),),)</f>
        <v/>
      </c>
      <c r="O116" s="158" t="str">
        <f>IF($P116&lt;&gt;"",IF(MAXIFS(Investment!$AH:$AH,Investment!$H:$H,LEFT($P116,30)&amp;"*"),MAXIFS(Investment!$AH:$AH,Investment!$H:$H,LEFT($P116,30)&amp;"*"),),)</f>
        <v/>
      </c>
      <c r="P116" s="141"/>
      <c r="Q116" s="145"/>
      <c r="R116" s="138"/>
    </row>
    <row r="117">
      <c r="A117" s="122">
        <v>43549.0</v>
      </c>
      <c r="B117" s="55" t="s">
        <v>268</v>
      </c>
      <c r="C117" s="55" t="s">
        <v>673</v>
      </c>
      <c r="D117" s="55" t="s">
        <v>319</v>
      </c>
      <c r="E117" s="50">
        <v>-60000.0</v>
      </c>
      <c r="F117" s="264">
        <v>4.113</v>
      </c>
      <c r="G117" s="128">
        <v>246774.25</v>
      </c>
      <c r="H117" s="130" t="s">
        <v>675</v>
      </c>
      <c r="I117" s="138">
        <f t="shared" ref="I117:J117" si="119">IFS(AND($B117&lt;&gt;"",$E117&lt;&gt;""),IF(INDEX(N:N,MATCH($C117,$P:$P,0),1)&lt;&gt;"",$E117*INDEX(N:N,MATCH($C117,$P:$P,0),1)+$G117,""),AND($B117&lt;&gt;"",$D117="COST",$G117&lt;0),$G117,TRUE,)</f>
        <v>-13985.75</v>
      </c>
      <c r="J117" s="138">
        <f t="shared" si="119"/>
        <v>7830.589844</v>
      </c>
      <c r="K117" s="266" t="str">
        <f t="shared" si="3"/>
        <v>iShares Treasury Bond 20+ UCITS USD Dist</v>
      </c>
      <c r="L117" s="156">
        <f t="shared" si="4"/>
        <v>0</v>
      </c>
      <c r="M117" s="156">
        <f t="shared" si="5"/>
        <v>27424.23</v>
      </c>
      <c r="N117" s="155" t="str">
        <f>IF($P117&lt;&gt;"",IF(MAXIFS(Investment!$M:$M,Investment!$H:$H,LEFT($P117,30)&amp;"*"),MAXIFS(Investment!$M:$M,Investment!$H:$H,LEFT($P117,30)&amp;"*"),),)</f>
        <v/>
      </c>
      <c r="O117" s="158" t="str">
        <f>IF($P117&lt;&gt;"",IF(MAXIFS(Investment!$AH:$AH,Investment!$H:$H,LEFT($P117,30)&amp;"*"),MAXIFS(Investment!$AH:$AH,Investment!$H:$H,LEFT($P117,30)&amp;"*"),),)</f>
        <v/>
      </c>
      <c r="P117" s="141"/>
      <c r="Q117" s="145"/>
      <c r="R117" s="138"/>
    </row>
    <row r="118">
      <c r="A118" s="122">
        <v>43549.0</v>
      </c>
      <c r="B118" s="55" t="s">
        <v>268</v>
      </c>
      <c r="C118" s="55" t="s">
        <v>673</v>
      </c>
      <c r="D118" s="55" t="s">
        <v>378</v>
      </c>
      <c r="E118" s="50"/>
      <c r="F118" s="264"/>
      <c r="G118" s="128">
        <v>-12.88</v>
      </c>
      <c r="H118" s="130" t="s">
        <v>680</v>
      </c>
      <c r="I118" s="138">
        <f t="shared" ref="I118:J118" si="120">IFS(AND($B118&lt;&gt;"",$E118&lt;&gt;""),IF(INDEX(N:N,MATCH($C118,$P:$P,0),1)&lt;&gt;"",$E118*INDEX(N:N,MATCH($C118,$P:$P,0),1)+$G118,""),AND($B118&lt;&gt;"",$D118="COST",$G118&lt;0),$G118,TRUE,)</f>
        <v>-12.88</v>
      </c>
      <c r="J118" s="138">
        <f t="shared" si="120"/>
        <v>-12.88</v>
      </c>
      <c r="K118" s="266" t="str">
        <f t="shared" si="3"/>
        <v>iShares Treasury Bond 20+ UCITS USD Dist</v>
      </c>
      <c r="L118" s="156">
        <f t="shared" si="4"/>
        <v>0</v>
      </c>
      <c r="M118" s="156">
        <f t="shared" si="5"/>
        <v>27424.23</v>
      </c>
      <c r="N118" s="155" t="str">
        <f>IF($P118&lt;&gt;"",IF(MAXIFS(Investment!$M:$M,Investment!$H:$H,LEFT($P118,30)&amp;"*"),MAXIFS(Investment!$M:$M,Investment!$H:$H,LEFT($P118,30)&amp;"*"),),)</f>
        <v/>
      </c>
      <c r="O118" s="158" t="str">
        <f>IF($P118&lt;&gt;"",IF(MAXIFS(Investment!$AH:$AH,Investment!$H:$H,LEFT($P118,30)&amp;"*"),MAXIFS(Investment!$AH:$AH,Investment!$H:$H,LEFT($P118,30)&amp;"*"),),)</f>
        <v/>
      </c>
      <c r="P118" s="141"/>
      <c r="Q118" s="145"/>
      <c r="R118" s="138"/>
    </row>
    <row r="119">
      <c r="A119" s="122">
        <v>43549.0</v>
      </c>
      <c r="B119" s="55" t="s">
        <v>268</v>
      </c>
      <c r="C119" s="55" t="s">
        <v>673</v>
      </c>
      <c r="D119" s="55" t="s">
        <v>319</v>
      </c>
      <c r="E119" s="50">
        <v>-13195.0</v>
      </c>
      <c r="F119" s="264">
        <v>4.113</v>
      </c>
      <c r="G119" s="128">
        <v>54273.96</v>
      </c>
      <c r="H119" s="130" t="s">
        <v>681</v>
      </c>
      <c r="I119" s="138">
        <f t="shared" ref="I119:J119" si="121">IFS(AND($B119&lt;&gt;"",$E119&lt;&gt;""),IF(INDEX(N:N,MATCH($C119,$P:$P,0),1)&lt;&gt;"",$E119*INDEX(N:N,MATCH($C119,$P:$P,0),1)+$G119,""),AND($B119&lt;&gt;"",$D119="COST",$G119&lt;0),$G119,TRUE,)</f>
        <v>-3071.51</v>
      </c>
      <c r="J119" s="138">
        <f t="shared" si="121"/>
        <v>1726.266737</v>
      </c>
      <c r="K119" s="266" t="str">
        <f t="shared" si="3"/>
        <v>iShares Treasury Bond 20+ UCITS USD Dist</v>
      </c>
      <c r="L119" s="156">
        <f t="shared" si="4"/>
        <v>0</v>
      </c>
      <c r="M119" s="156">
        <f t="shared" si="5"/>
        <v>27424.23</v>
      </c>
      <c r="N119" s="155" t="str">
        <f>IF($P119&lt;&gt;"",IF(MAXIFS(Investment!$M:$M,Investment!$H:$H,LEFT($P119,30)&amp;"*"),MAXIFS(Investment!$M:$M,Investment!$H:$H,LEFT($P119,30)&amp;"*"),),)</f>
        <v/>
      </c>
      <c r="O119" s="158" t="str">
        <f>IF($P119&lt;&gt;"",IF(MAXIFS(Investment!$AH:$AH,Investment!$H:$H,LEFT($P119,30)&amp;"*"),MAXIFS(Investment!$AH:$AH,Investment!$H:$H,LEFT($P119,30)&amp;"*"),),)</f>
        <v/>
      </c>
      <c r="P119" s="141"/>
      <c r="Q119" s="145"/>
      <c r="R119" s="138"/>
    </row>
    <row r="120">
      <c r="A120" s="122">
        <v>43543.0</v>
      </c>
      <c r="B120" s="55" t="s">
        <v>343</v>
      </c>
      <c r="C120" s="55" t="s">
        <v>344</v>
      </c>
      <c r="D120" s="55" t="s">
        <v>319</v>
      </c>
      <c r="E120" s="50">
        <v>-22.0</v>
      </c>
      <c r="F120" s="264">
        <v>47.68</v>
      </c>
      <c r="G120" s="128">
        <v>1048.96</v>
      </c>
      <c r="H120" s="130" t="s">
        <v>684</v>
      </c>
      <c r="I120" s="138">
        <f t="shared" ref="I120:J120" si="122">IFS(AND($B120&lt;&gt;"",$E120&lt;&gt;""),IF(INDEX(N:N,MATCH($C120,$P:$P,0),1)&lt;&gt;"",$E120*INDEX(N:N,MATCH($C120,$P:$P,0),1)+$G120,""),AND($B120&lt;&gt;"",$D120="COST",$G120&lt;0),$G120,TRUE,)</f>
        <v>-22.462</v>
      </c>
      <c r="J120" s="138">
        <f t="shared" si="122"/>
        <v>27.9571875</v>
      </c>
      <c r="K120" s="266" t="str">
        <f t="shared" si="3"/>
        <v>Vanguard S&amp;P 500 UCITS</v>
      </c>
      <c r="L120" s="156">
        <f t="shared" si="4"/>
        <v>4293</v>
      </c>
      <c r="M120" s="156">
        <f t="shared" si="5"/>
        <v>-183260.93</v>
      </c>
      <c r="N120" s="155" t="str">
        <f>IF($P120&lt;&gt;"",IF(MAXIFS(Investment!$M:$M,Investment!$H:$H,LEFT($P120,30)&amp;"*"),MAXIFS(Investment!$M:$M,Investment!$H:$H,LEFT($P120,30)&amp;"*"),),)</f>
        <v/>
      </c>
      <c r="O120" s="158" t="str">
        <f>IF($P120&lt;&gt;"",IF(MAXIFS(Investment!$AH:$AH,Investment!$H:$H,LEFT($P120,30)&amp;"*"),MAXIFS(Investment!$AH:$AH,Investment!$H:$H,LEFT($P120,30)&amp;"*"),),)</f>
        <v/>
      </c>
      <c r="P120" s="141"/>
      <c r="Q120" s="145"/>
      <c r="R120" s="138"/>
    </row>
    <row r="121">
      <c r="A121" s="122">
        <v>43532.0</v>
      </c>
      <c r="B121" s="55" t="s">
        <v>268</v>
      </c>
      <c r="C121" s="55" t="s">
        <v>673</v>
      </c>
      <c r="D121" s="55" t="s">
        <v>378</v>
      </c>
      <c r="E121" s="50"/>
      <c r="F121" s="264"/>
      <c r="G121" s="128">
        <v>-2.73</v>
      </c>
      <c r="H121" s="130" t="s">
        <v>689</v>
      </c>
      <c r="I121" s="138">
        <f t="shared" ref="I121:J121" si="123">IFS(AND($B121&lt;&gt;"",$E121&lt;&gt;""),IF(INDEX(N:N,MATCH($C121,$P:$P,0),1)&lt;&gt;"",$E121*INDEX(N:N,MATCH($C121,$P:$P,0),1)+$G121,""),AND($B121&lt;&gt;"",$D121="COST",$G121&lt;0),$G121,TRUE,)</f>
        <v>-2.73</v>
      </c>
      <c r="J121" s="138">
        <f t="shared" si="123"/>
        <v>-2.73</v>
      </c>
      <c r="K121" s="266" t="str">
        <f t="shared" si="3"/>
        <v>iShares Treasury Bond 20+ UCITS USD Dist</v>
      </c>
      <c r="L121" s="156">
        <f t="shared" si="4"/>
        <v>0</v>
      </c>
      <c r="M121" s="156">
        <f t="shared" si="5"/>
        <v>27424.23</v>
      </c>
      <c r="N121" s="155" t="str">
        <f>IF($P121&lt;&gt;"",IF(MAXIFS(Investment!$M:$M,Investment!$H:$H,LEFT($P121,30)&amp;"*"),MAXIFS(Investment!$M:$M,Investment!$H:$H,LEFT($P121,30)&amp;"*"),),)</f>
        <v/>
      </c>
      <c r="O121" s="158" t="str">
        <f>IF($P121&lt;&gt;"",IF(MAXIFS(Investment!$AH:$AH,Investment!$H:$H,LEFT($P121,30)&amp;"*"),MAXIFS(Investment!$AH:$AH,Investment!$H:$H,LEFT($P121,30)&amp;"*"),),)</f>
        <v/>
      </c>
      <c r="P121" s="141"/>
      <c r="Q121" s="145"/>
      <c r="R121" s="138"/>
    </row>
    <row r="122">
      <c r="A122" s="122">
        <v>43532.0</v>
      </c>
      <c r="B122" s="55" t="s">
        <v>268</v>
      </c>
      <c r="C122" s="55" t="s">
        <v>673</v>
      </c>
      <c r="D122" s="55" t="s">
        <v>319</v>
      </c>
      <c r="E122" s="50">
        <v>-900.0</v>
      </c>
      <c r="F122" s="264">
        <v>4.054</v>
      </c>
      <c r="G122" s="128">
        <v>3649.01</v>
      </c>
      <c r="H122" s="130" t="s">
        <v>690</v>
      </c>
      <c r="I122" s="138">
        <f t="shared" ref="I122:J122" si="124">IFS(AND($B122&lt;&gt;"",$E122&lt;&gt;""),IF(INDEX(N:N,MATCH($C122,$P:$P,0),1)&lt;&gt;"",$E122*INDEX(N:N,MATCH($C122,$P:$P,0),1)+$G122,""),AND($B122&lt;&gt;"",$D122="COST",$G122&lt;0),$G122,TRUE,)</f>
        <v>-262.39</v>
      </c>
      <c r="J122" s="138">
        <f t="shared" si="124"/>
        <v>64.85509766</v>
      </c>
      <c r="K122" s="266" t="str">
        <f t="shared" si="3"/>
        <v>iShares Treasury Bond 20+ UCITS USD Dist</v>
      </c>
      <c r="L122" s="156">
        <f t="shared" si="4"/>
        <v>0</v>
      </c>
      <c r="M122" s="156">
        <f t="shared" si="5"/>
        <v>27424.23</v>
      </c>
      <c r="N122" s="155" t="str">
        <f>IF($P122&lt;&gt;"",IF(MAXIFS(Investment!$M:$M,Investment!$H:$H,LEFT($P122,30)&amp;"*"),MAXIFS(Investment!$M:$M,Investment!$H:$H,LEFT($P122,30)&amp;"*"),),)</f>
        <v/>
      </c>
      <c r="O122" s="158" t="str">
        <f>IF($P122&lt;&gt;"",IF(MAXIFS(Investment!$AH:$AH,Investment!$H:$H,LEFT($P122,30)&amp;"*"),MAXIFS(Investment!$AH:$AH,Investment!$H:$H,LEFT($P122,30)&amp;"*"),),)</f>
        <v/>
      </c>
      <c r="P122" s="141"/>
      <c r="Q122" s="145"/>
      <c r="R122" s="138"/>
    </row>
    <row r="123">
      <c r="A123" s="122">
        <v>43532.0</v>
      </c>
      <c r="B123" s="55" t="s">
        <v>328</v>
      </c>
      <c r="C123" s="55" t="s">
        <v>329</v>
      </c>
      <c r="D123" s="55" t="s">
        <v>330</v>
      </c>
      <c r="E123" s="50">
        <v>185.0</v>
      </c>
      <c r="F123" s="264">
        <v>7.298</v>
      </c>
      <c r="G123" s="128">
        <v>-1350.13</v>
      </c>
      <c r="H123" s="130" t="s">
        <v>697</v>
      </c>
      <c r="I123" s="138">
        <f t="shared" ref="I123:J123" si="125">IFS(AND($B123&lt;&gt;"",$E123&lt;&gt;""),IF(INDEX(N:N,MATCH($C123,$P:$P,0),1)&lt;&gt;"",$E123*INDEX(N:N,MATCH($C123,$P:$P,0),1)+$G123,""),AND($B123&lt;&gt;"",$D123="COST",$G123&lt;0),$G123,TRUE,)</f>
        <v>-17.76</v>
      </c>
      <c r="J123" s="138">
        <f t="shared" si="125"/>
        <v>4.323652344</v>
      </c>
      <c r="K123" s="266" t="str">
        <f t="shared" si="3"/>
        <v>ETFS All Commodities ETC</v>
      </c>
      <c r="L123" s="156">
        <f t="shared" si="4"/>
        <v>11470</v>
      </c>
      <c r="M123" s="156">
        <f t="shared" si="5"/>
        <v>-83154.49</v>
      </c>
      <c r="N123" s="155" t="str">
        <f>IF($P123&lt;&gt;"",IF(MAXIFS(Investment!$M:$M,Investment!$H:$H,LEFT($P123,30)&amp;"*"),MAXIFS(Investment!$M:$M,Investment!$H:$H,LEFT($P123,30)&amp;"*"),),)</f>
        <v/>
      </c>
      <c r="O123" s="158" t="str">
        <f>IF($P123&lt;&gt;"",IF(MAXIFS(Investment!$AH:$AH,Investment!$H:$H,LEFT($P123,30)&amp;"*"),MAXIFS(Investment!$AH:$AH,Investment!$H:$H,LEFT($P123,30)&amp;"*"),),)</f>
        <v/>
      </c>
      <c r="P123" s="141"/>
      <c r="Q123" s="145"/>
      <c r="R123" s="138"/>
    </row>
    <row r="124">
      <c r="A124" s="122">
        <v>43532.0</v>
      </c>
      <c r="B124" s="55" t="s">
        <v>364</v>
      </c>
      <c r="C124" s="55" t="s">
        <v>366</v>
      </c>
      <c r="D124" s="55" t="s">
        <v>319</v>
      </c>
      <c r="E124" s="50">
        <v>-8.0</v>
      </c>
      <c r="F124" s="264">
        <v>172.6</v>
      </c>
      <c r="G124" s="128">
        <v>1380.8</v>
      </c>
      <c r="H124" s="130" t="s">
        <v>698</v>
      </c>
      <c r="I124" s="138">
        <f t="shared" ref="I124:J124" si="126">IFS(AND($B124&lt;&gt;"",$E124&lt;&gt;""),IF(INDEX(N:N,MATCH($C124,$P:$P,0),1)&lt;&gt;"",$E124*INDEX(N:N,MATCH($C124,$P:$P,0),1)+$G124,""),AND($B124&lt;&gt;"",$D124="COST",$G124&lt;0),$G124,TRUE,)</f>
        <v>-39.2</v>
      </c>
      <c r="J124" s="138">
        <f t="shared" si="126"/>
        <v>38.6796875</v>
      </c>
      <c r="K124" s="266" t="str">
        <f t="shared" si="3"/>
        <v>iShares Treasury Bond 7-10 UCITS</v>
      </c>
      <c r="L124" s="156">
        <f t="shared" si="4"/>
        <v>597</v>
      </c>
      <c r="M124" s="156">
        <f t="shared" si="5"/>
        <v>-91106.6</v>
      </c>
      <c r="N124" s="155" t="str">
        <f>IF($P124&lt;&gt;"",IF(MAXIFS(Investment!$M:$M,Investment!$H:$H,LEFT($P124,30)&amp;"*"),MAXIFS(Investment!$M:$M,Investment!$H:$H,LEFT($P124,30)&amp;"*"),),)</f>
        <v/>
      </c>
      <c r="O124" s="158" t="str">
        <f>IF($P124&lt;&gt;"",IF(MAXIFS(Investment!$AH:$AH,Investment!$H:$H,LEFT($P124,30)&amp;"*"),MAXIFS(Investment!$AH:$AH,Investment!$H:$H,LEFT($P124,30)&amp;"*"),),)</f>
        <v/>
      </c>
      <c r="P124" s="141"/>
      <c r="Q124" s="145"/>
      <c r="R124" s="138"/>
    </row>
    <row r="125">
      <c r="A125" s="122">
        <v>43531.0</v>
      </c>
      <c r="B125" s="55" t="s">
        <v>268</v>
      </c>
      <c r="C125" s="55" t="s">
        <v>673</v>
      </c>
      <c r="D125" s="55" t="s">
        <v>319</v>
      </c>
      <c r="E125" s="50">
        <v>-10.0</v>
      </c>
      <c r="F125" s="264">
        <v>4.041</v>
      </c>
      <c r="G125" s="128">
        <v>40.41</v>
      </c>
      <c r="H125" s="130" t="s">
        <v>700</v>
      </c>
      <c r="I125" s="138">
        <f t="shared" ref="I125:J125" si="127">IFS(AND($B125&lt;&gt;"",$E125&lt;&gt;""),IF(INDEX(N:N,MATCH($C125,$P:$P,0),1)&lt;&gt;"",$E125*INDEX(N:N,MATCH($C125,$P:$P,0),1)+$G125,""),AND($B125&lt;&gt;"",$D125="COST",$G125&lt;0),$G125,TRUE,)</f>
        <v>-3.05</v>
      </c>
      <c r="J125" s="138">
        <f t="shared" si="127"/>
        <v>0.5860566406</v>
      </c>
      <c r="K125" s="266" t="str">
        <f t="shared" si="3"/>
        <v>iShares Treasury Bond 20+ UCITS USD Dist</v>
      </c>
      <c r="L125" s="156">
        <f t="shared" si="4"/>
        <v>0</v>
      </c>
      <c r="M125" s="156">
        <f t="shared" si="5"/>
        <v>27424.23</v>
      </c>
      <c r="N125" s="155" t="str">
        <f>IF($P125&lt;&gt;"",IF(MAXIFS(Investment!$M:$M,Investment!$H:$H,LEFT($P125,30)&amp;"*"),MAXIFS(Investment!$M:$M,Investment!$H:$H,LEFT($P125,30)&amp;"*"),),)</f>
        <v/>
      </c>
      <c r="O125" s="158" t="str">
        <f>IF($P125&lt;&gt;"",IF(MAXIFS(Investment!$AH:$AH,Investment!$H:$H,LEFT($P125,30)&amp;"*"),MAXIFS(Investment!$AH:$AH,Investment!$H:$H,LEFT($P125,30)&amp;"*"),),)</f>
        <v/>
      </c>
      <c r="P125" s="141"/>
      <c r="Q125" s="145"/>
      <c r="R125" s="138"/>
    </row>
    <row r="126">
      <c r="A126" s="122">
        <v>43531.0</v>
      </c>
      <c r="B126" s="55" t="s">
        <v>268</v>
      </c>
      <c r="C126" s="55" t="s">
        <v>673</v>
      </c>
      <c r="D126" s="55" t="s">
        <v>378</v>
      </c>
      <c r="E126" s="50"/>
      <c r="F126" s="264"/>
      <c r="G126" s="128">
        <v>-2.01</v>
      </c>
      <c r="H126" s="130" t="s">
        <v>705</v>
      </c>
      <c r="I126" s="138">
        <f t="shared" ref="I126:J126" si="128">IFS(AND($B126&lt;&gt;"",$E126&lt;&gt;""),IF(INDEX(N:N,MATCH($C126,$P:$P,0),1)&lt;&gt;"",$E126*INDEX(N:N,MATCH($C126,$P:$P,0),1)+$G126,""),AND($B126&lt;&gt;"",$D126="COST",$G126&lt;0),$G126,TRUE,)</f>
        <v>-2.01</v>
      </c>
      <c r="J126" s="138">
        <f t="shared" si="128"/>
        <v>-2.01</v>
      </c>
      <c r="K126" s="266" t="str">
        <f t="shared" si="3"/>
        <v>iShares Treasury Bond 20+ UCITS USD Dist</v>
      </c>
      <c r="L126" s="156">
        <f t="shared" si="4"/>
        <v>0</v>
      </c>
      <c r="M126" s="156">
        <f t="shared" si="5"/>
        <v>27424.23</v>
      </c>
      <c r="N126" s="155" t="str">
        <f>IF($P126&lt;&gt;"",IF(MAXIFS(Investment!$M:$M,Investment!$H:$H,LEFT($P126,30)&amp;"*"),MAXIFS(Investment!$M:$M,Investment!$H:$H,LEFT($P126,30)&amp;"*"),),)</f>
        <v/>
      </c>
      <c r="O126" s="158" t="str">
        <f>IF($P126&lt;&gt;"",IF(MAXIFS(Investment!$AH:$AH,Investment!$H:$H,LEFT($P126,30)&amp;"*"),MAXIFS(Investment!$AH:$AH,Investment!$H:$H,LEFT($P126,30)&amp;"*"),),)</f>
        <v/>
      </c>
      <c r="P126" s="141"/>
      <c r="Q126" s="145"/>
      <c r="R126" s="138"/>
    </row>
    <row r="127">
      <c r="A127" s="122">
        <v>43530.0</v>
      </c>
      <c r="B127" s="55" t="s">
        <v>364</v>
      </c>
      <c r="C127" s="55" t="s">
        <v>366</v>
      </c>
      <c r="D127" s="55" t="s">
        <v>319</v>
      </c>
      <c r="E127" s="50">
        <v>-6.0</v>
      </c>
      <c r="F127" s="264">
        <v>169.9</v>
      </c>
      <c r="G127" s="128">
        <v>1019.4</v>
      </c>
      <c r="H127" s="130" t="s">
        <v>706</v>
      </c>
      <c r="I127" s="138">
        <f t="shared" ref="I127:J127" si="129">IFS(AND($B127&lt;&gt;"",$E127&lt;&gt;""),IF(INDEX(N:N,MATCH($C127,$P:$P,0),1)&lt;&gt;"",$E127*INDEX(N:N,MATCH($C127,$P:$P,0),1)+$G127,""),AND($B127&lt;&gt;"",$D127="COST",$G127&lt;0),$G127,TRUE,)</f>
        <v>-45.6</v>
      </c>
      <c r="J127" s="138">
        <f t="shared" si="129"/>
        <v>12.80976563</v>
      </c>
      <c r="K127" s="266" t="str">
        <f t="shared" si="3"/>
        <v>iShares Treasury Bond 7-10 UCITS</v>
      </c>
      <c r="L127" s="156">
        <f t="shared" si="4"/>
        <v>597</v>
      </c>
      <c r="M127" s="156">
        <f t="shared" si="5"/>
        <v>-91106.6</v>
      </c>
      <c r="N127" s="155" t="str">
        <f>IF($P127&lt;&gt;"",IF(MAXIFS(Investment!$M:$M,Investment!$H:$H,LEFT($P127,30)&amp;"*"),MAXIFS(Investment!$M:$M,Investment!$H:$H,LEFT($P127,30)&amp;"*"),),)</f>
        <v/>
      </c>
      <c r="O127" s="158" t="str">
        <f>IF($P127&lt;&gt;"",IF(MAXIFS(Investment!$AH:$AH,Investment!$H:$H,LEFT($P127,30)&amp;"*"),MAXIFS(Investment!$AH:$AH,Investment!$H:$H,LEFT($P127,30)&amp;"*"),),)</f>
        <v/>
      </c>
      <c r="P127" s="141"/>
      <c r="Q127" s="145"/>
      <c r="R127" s="138"/>
    </row>
    <row r="128">
      <c r="A128" s="122">
        <v>43529.0</v>
      </c>
      <c r="B128" s="55"/>
      <c r="C128" s="55"/>
      <c r="D128" s="55" t="s">
        <v>312</v>
      </c>
      <c r="E128" s="50"/>
      <c r="F128" s="264"/>
      <c r="G128" s="128">
        <v>-700.0</v>
      </c>
      <c r="H128" s="130" t="s">
        <v>713</v>
      </c>
      <c r="I128" s="138" t="str">
        <f t="shared" ref="I128:J128" si="130">IFS(AND($B128&lt;&gt;"",$E128&lt;&gt;""),IF(INDEX(N:N,MATCH($C128,$P:$P,0),1)&lt;&gt;"",$E128*INDEX(N:N,MATCH($C128,$P:$P,0),1)+$G128,""),AND($B128&lt;&gt;"",$D128="COST",$G128&lt;0),$G128,TRUE,)</f>
        <v/>
      </c>
      <c r="J128" s="138" t="str">
        <f t="shared" si="130"/>
        <v/>
      </c>
      <c r="K128" s="266" t="str">
        <f t="shared" si="3"/>
        <v/>
      </c>
      <c r="L128" s="156" t="str">
        <f t="shared" si="4"/>
        <v/>
      </c>
      <c r="M128" s="156" t="str">
        <f t="shared" si="5"/>
        <v/>
      </c>
      <c r="N128" s="155" t="str">
        <f>IF($P128&lt;&gt;"",IF(MAXIFS(Investment!$M:$M,Investment!$H:$H,LEFT($P128,30)&amp;"*"),MAXIFS(Investment!$M:$M,Investment!$H:$H,LEFT($P128,30)&amp;"*"),),)</f>
        <v/>
      </c>
      <c r="O128" s="158" t="str">
        <f>IF($P128&lt;&gt;"",IF(MAXIFS(Investment!$AH:$AH,Investment!$H:$H,LEFT($P128,30)&amp;"*"),MAXIFS(Investment!$AH:$AH,Investment!$H:$H,LEFT($P128,30)&amp;"*"),),)</f>
        <v/>
      </c>
      <c r="P128" s="141"/>
      <c r="Q128" s="145"/>
      <c r="R128" s="138"/>
    </row>
    <row r="129">
      <c r="A129" s="122">
        <v>43528.0</v>
      </c>
      <c r="B129" s="55"/>
      <c r="C129" s="55"/>
      <c r="D129" s="55" t="s">
        <v>378</v>
      </c>
      <c r="E129" s="50"/>
      <c r="F129" s="264"/>
      <c r="G129" s="128">
        <v>-534.72</v>
      </c>
      <c r="H129" s="130" t="s">
        <v>716</v>
      </c>
      <c r="I129" s="138" t="str">
        <f t="shared" ref="I129:J129" si="131">IFS(AND($B129&lt;&gt;"",$E129&lt;&gt;""),IF(INDEX(N:N,MATCH($C129,$P:$P,0),1)&lt;&gt;"",$E129*INDEX(N:N,MATCH($C129,$P:$P,0),1)+$G129,""),AND($B129&lt;&gt;"",$D129="COST",$G129&lt;0),$G129,TRUE,)</f>
        <v/>
      </c>
      <c r="J129" s="138" t="str">
        <f t="shared" si="131"/>
        <v/>
      </c>
      <c r="K129" s="266" t="str">
        <f t="shared" si="3"/>
        <v/>
      </c>
      <c r="L129" s="156" t="str">
        <f t="shared" si="4"/>
        <v/>
      </c>
      <c r="M129" s="156" t="str">
        <f t="shared" si="5"/>
        <v/>
      </c>
      <c r="N129" s="155" t="str">
        <f>IF($P129&lt;&gt;"",IF(MAXIFS(Investment!$M:$M,Investment!$H:$H,LEFT($P129,30)&amp;"*"),MAXIFS(Investment!$M:$M,Investment!$H:$H,LEFT($P129,30)&amp;"*"),),)</f>
        <v/>
      </c>
      <c r="O129" s="158" t="str">
        <f>IF($P129&lt;&gt;"",IF(MAXIFS(Investment!$AH:$AH,Investment!$H:$H,LEFT($P129,30)&amp;"*"),MAXIFS(Investment!$AH:$AH,Investment!$H:$H,LEFT($P129,30)&amp;"*"),),)</f>
        <v/>
      </c>
      <c r="P129" s="141"/>
      <c r="Q129" s="145"/>
      <c r="R129" s="138"/>
    </row>
    <row r="130">
      <c r="A130" s="122">
        <v>43528.0</v>
      </c>
      <c r="B130" s="55" t="s">
        <v>343</v>
      </c>
      <c r="C130" s="55" t="s">
        <v>344</v>
      </c>
      <c r="D130" s="55" t="s">
        <v>319</v>
      </c>
      <c r="E130" s="50">
        <v>-75.0</v>
      </c>
      <c r="F130" s="264">
        <v>47.18</v>
      </c>
      <c r="G130" s="128">
        <v>3538.5</v>
      </c>
      <c r="H130" s="130" t="s">
        <v>726</v>
      </c>
      <c r="I130" s="138">
        <f t="shared" ref="I130:J130" si="132">IFS(AND($B130&lt;&gt;"",$E130&lt;&gt;""),IF(INDEX(N:N,MATCH($C130,$P:$P,0),1)&lt;&gt;"",$E130*INDEX(N:N,MATCH($C130,$P:$P,0),1)+$G130,""),AND($B130&lt;&gt;"",$D130="COST",$G130&lt;0),$G130,TRUE,)</f>
        <v>-114.075</v>
      </c>
      <c r="J130" s="138">
        <f t="shared" si="132"/>
        <v>57.80859375</v>
      </c>
      <c r="K130" s="266" t="str">
        <f t="shared" si="3"/>
        <v>Vanguard S&amp;P 500 UCITS</v>
      </c>
      <c r="L130" s="156">
        <f t="shared" si="4"/>
        <v>4293</v>
      </c>
      <c r="M130" s="156">
        <f t="shared" si="5"/>
        <v>-183260.93</v>
      </c>
      <c r="N130" s="155" t="str">
        <f>IF($P130&lt;&gt;"",IF(MAXIFS(Investment!$M:$M,Investment!$H:$H,LEFT($P130,30)&amp;"*"),MAXIFS(Investment!$M:$M,Investment!$H:$H,LEFT($P130,30)&amp;"*"),),)</f>
        <v/>
      </c>
      <c r="O130" s="158" t="str">
        <f>IF($P130&lt;&gt;"",IF(MAXIFS(Investment!$AH:$AH,Investment!$H:$H,LEFT($P130,30)&amp;"*"),MAXIFS(Investment!$AH:$AH,Investment!$H:$H,LEFT($P130,30)&amp;"*"),),)</f>
        <v/>
      </c>
      <c r="P130" s="141"/>
      <c r="Q130" s="145"/>
      <c r="R130" s="138"/>
    </row>
    <row r="131">
      <c r="A131" s="122">
        <v>43521.0</v>
      </c>
      <c r="B131" s="55" t="s">
        <v>343</v>
      </c>
      <c r="C131" s="55" t="s">
        <v>344</v>
      </c>
      <c r="D131" s="55" t="s">
        <v>319</v>
      </c>
      <c r="E131" s="50">
        <v>-29.0</v>
      </c>
      <c r="F131" s="264">
        <v>47.0248</v>
      </c>
      <c r="G131" s="128">
        <v>1363.72</v>
      </c>
      <c r="H131" s="130" t="s">
        <v>743</v>
      </c>
      <c r="I131" s="138">
        <f t="shared" ref="I131:J131" si="133">IFS(AND($B131&lt;&gt;"",$E131&lt;&gt;""),IF(INDEX(N:N,MATCH($C131,$P:$P,0),1)&lt;&gt;"",$E131*INDEX(N:N,MATCH($C131,$P:$P,0),1)+$G131,""),AND($B131&lt;&gt;"",$D131="COST",$G131&lt;0),$G131,TRUE,)</f>
        <v>-48.609</v>
      </c>
      <c r="J131" s="138">
        <f t="shared" si="133"/>
        <v>17.85265625</v>
      </c>
      <c r="K131" s="266" t="str">
        <f t="shared" si="3"/>
        <v>Vanguard S&amp;P 500 UCITS</v>
      </c>
      <c r="L131" s="156">
        <f t="shared" si="4"/>
        <v>4293</v>
      </c>
      <c r="M131" s="156">
        <f t="shared" si="5"/>
        <v>-183260.93</v>
      </c>
      <c r="N131" s="155" t="str">
        <f>IF($P131&lt;&gt;"",IF(MAXIFS(Investment!$M:$M,Investment!$H:$H,LEFT($P131,30)&amp;"*"),MAXIFS(Investment!$M:$M,Investment!$H:$H,LEFT($P131,30)&amp;"*"),),)</f>
        <v/>
      </c>
      <c r="O131" s="158" t="str">
        <f>IF($P131&lt;&gt;"",IF(MAXIFS(Investment!$AH:$AH,Investment!$H:$H,LEFT($P131,30)&amp;"*"),MAXIFS(Investment!$AH:$AH,Investment!$H:$H,LEFT($P131,30)&amp;"*"),),)</f>
        <v/>
      </c>
      <c r="P131" s="141"/>
      <c r="Q131" s="145"/>
      <c r="R131" s="138"/>
    </row>
    <row r="132">
      <c r="A132" s="122">
        <v>43521.0</v>
      </c>
      <c r="B132" s="55" t="s">
        <v>343</v>
      </c>
      <c r="C132" s="55" t="s">
        <v>344</v>
      </c>
      <c r="D132" s="55" t="s">
        <v>319</v>
      </c>
      <c r="E132" s="50">
        <v>-1.0</v>
      </c>
      <c r="F132" s="264">
        <v>47.04</v>
      </c>
      <c r="G132" s="128">
        <v>47.04</v>
      </c>
      <c r="H132" s="130" t="s">
        <v>752</v>
      </c>
      <c r="I132" s="138">
        <f t="shared" ref="I132:J132" si="134">IFS(AND($B132&lt;&gt;"",$E132&lt;&gt;""),IF(INDEX(N:N,MATCH($C132,$P:$P,0),1)&lt;&gt;"",$E132*INDEX(N:N,MATCH($C132,$P:$P,0),1)+$G132,""),AND($B132&lt;&gt;"",$D132="COST",$G132&lt;0),$G132,TRUE,)</f>
        <v>-1.661</v>
      </c>
      <c r="J132" s="138">
        <f t="shared" si="134"/>
        <v>0.63078125</v>
      </c>
      <c r="K132" s="266" t="str">
        <f t="shared" si="3"/>
        <v>Vanguard S&amp;P 500 UCITS</v>
      </c>
      <c r="L132" s="156">
        <f t="shared" si="4"/>
        <v>4293</v>
      </c>
      <c r="M132" s="156">
        <f t="shared" si="5"/>
        <v>-183260.93</v>
      </c>
      <c r="N132" s="155" t="str">
        <f>IF($P132&lt;&gt;"",IF(MAXIFS(Investment!$M:$M,Investment!$H:$H,LEFT($P132,30)&amp;"*"),MAXIFS(Investment!$M:$M,Investment!$H:$H,LEFT($P132,30)&amp;"*"),),)</f>
        <v/>
      </c>
      <c r="O132" s="158" t="str">
        <f>IF($P132&lt;&gt;"",IF(MAXIFS(Investment!$AH:$AH,Investment!$H:$H,LEFT($P132,30)&amp;"*"),MAXIFS(Investment!$AH:$AH,Investment!$H:$H,LEFT($P132,30)&amp;"*"),),)</f>
        <v/>
      </c>
      <c r="P132" s="141"/>
      <c r="Q132" s="145"/>
      <c r="R132" s="138"/>
    </row>
    <row r="133">
      <c r="A133" s="122">
        <v>43509.0</v>
      </c>
      <c r="B133" s="55" t="s">
        <v>343</v>
      </c>
      <c r="C133" s="55" t="s">
        <v>344</v>
      </c>
      <c r="D133" s="55" t="s">
        <v>319</v>
      </c>
      <c r="E133" s="50">
        <v>-45.0</v>
      </c>
      <c r="F133" s="264">
        <v>46.45</v>
      </c>
      <c r="G133" s="128">
        <v>2090.25</v>
      </c>
      <c r="H133" s="130" t="s">
        <v>767</v>
      </c>
      <c r="I133" s="138">
        <f t="shared" ref="I133:J133" si="135">IFS(AND($B133&lt;&gt;"",$E133&lt;&gt;""),IF(INDEX(N:N,MATCH($C133,$P:$P,0),1)&lt;&gt;"",$E133*INDEX(N:N,MATCH($C133,$P:$P,0),1)+$G133,""),AND($B133&lt;&gt;"",$D133="COST",$G133&lt;0),$G133,TRUE,)</f>
        <v>-101.295</v>
      </c>
      <c r="J133" s="138">
        <f t="shared" si="135"/>
        <v>1.83515625</v>
      </c>
      <c r="K133" s="266" t="str">
        <f t="shared" si="3"/>
        <v>Vanguard S&amp;P 500 UCITS</v>
      </c>
      <c r="L133" s="156">
        <f t="shared" si="4"/>
        <v>4293</v>
      </c>
      <c r="M133" s="156">
        <f t="shared" si="5"/>
        <v>-183260.93</v>
      </c>
      <c r="N133" s="155" t="str">
        <f>IF($P133&lt;&gt;"",IF(MAXIFS(Investment!$M:$M,Investment!$H:$H,LEFT($P133,30)&amp;"*"),MAXIFS(Investment!$M:$M,Investment!$H:$H,LEFT($P133,30)&amp;"*"),),)</f>
        <v/>
      </c>
      <c r="O133" s="158" t="str">
        <f>IF($P133&lt;&gt;"",IF(MAXIFS(Investment!$AH:$AH,Investment!$H:$H,LEFT($P133,30)&amp;"*"),MAXIFS(Investment!$AH:$AH,Investment!$H:$H,LEFT($P133,30)&amp;"*"),),)</f>
        <v/>
      </c>
      <c r="P133" s="141"/>
      <c r="Q133" s="145"/>
      <c r="R133" s="138"/>
    </row>
    <row r="134">
      <c r="A134" s="122">
        <v>43509.0</v>
      </c>
      <c r="B134" s="55" t="s">
        <v>343</v>
      </c>
      <c r="C134" s="55" t="s">
        <v>344</v>
      </c>
      <c r="D134" s="55" t="s">
        <v>319</v>
      </c>
      <c r="E134" s="50">
        <v>-38.0</v>
      </c>
      <c r="F134" s="264">
        <v>46.135</v>
      </c>
      <c r="G134" s="128">
        <v>1753.13</v>
      </c>
      <c r="H134" s="130" t="s">
        <v>790</v>
      </c>
      <c r="I134" s="138">
        <f t="shared" ref="I134:J134" si="136">IFS(AND($B134&lt;&gt;"",$E134&lt;&gt;""),IF(INDEX(N:N,MATCH($C134,$P:$P,0),1)&lt;&gt;"",$E134*INDEX(N:N,MATCH($C134,$P:$P,0),1)+$G134,""),AND($B134&lt;&gt;"",$D134="COST",$G134&lt;0),$G134,TRUE,)</f>
        <v>-97.508</v>
      </c>
      <c r="J134" s="138">
        <f t="shared" si="136"/>
        <v>-10.4203125</v>
      </c>
      <c r="K134" s="266" t="str">
        <f t="shared" si="3"/>
        <v>Vanguard S&amp;P 500 UCITS</v>
      </c>
      <c r="L134" s="156">
        <f t="shared" si="4"/>
        <v>4293</v>
      </c>
      <c r="M134" s="156">
        <f t="shared" si="5"/>
        <v>-183260.93</v>
      </c>
      <c r="N134" s="155" t="str">
        <f>IF($P134&lt;&gt;"",IF(MAXIFS(Investment!$M:$M,Investment!$H:$H,LEFT($P134,30)&amp;"*"),MAXIFS(Investment!$M:$M,Investment!$H:$H,LEFT($P134,30)&amp;"*"),),)</f>
        <v/>
      </c>
      <c r="O134" s="158" t="str">
        <f>IF($P134&lt;&gt;"",IF(MAXIFS(Investment!$AH:$AH,Investment!$H:$H,LEFT($P134,30)&amp;"*"),MAXIFS(Investment!$AH:$AH,Investment!$H:$H,LEFT($P134,30)&amp;"*"),),)</f>
        <v/>
      </c>
      <c r="P134" s="141"/>
      <c r="Q134" s="145"/>
      <c r="R134" s="138"/>
    </row>
    <row r="135">
      <c r="A135" s="122">
        <v>43508.0</v>
      </c>
      <c r="B135" s="55" t="s">
        <v>343</v>
      </c>
      <c r="C135" s="55" t="s">
        <v>344</v>
      </c>
      <c r="D135" s="55" t="s">
        <v>319</v>
      </c>
      <c r="E135" s="50">
        <v>-14.0</v>
      </c>
      <c r="F135" s="264">
        <v>45.916</v>
      </c>
      <c r="G135" s="128">
        <v>642.83</v>
      </c>
      <c r="H135" s="130" t="s">
        <v>805</v>
      </c>
      <c r="I135" s="138">
        <f t="shared" ref="I135:J135" si="137">IFS(AND($B135&lt;&gt;"",$E135&lt;&gt;""),IF(INDEX(N:N,MATCH($C135,$P:$P,0),1)&lt;&gt;"",$E135*INDEX(N:N,MATCH($C135,$P:$P,0),1)+$G135,""),AND($B135&lt;&gt;"",$D135="COST",$G135&lt;0),$G135,TRUE,)</f>
        <v>-38.984</v>
      </c>
      <c r="J135" s="138">
        <f t="shared" si="137"/>
        <v>-6.8990625</v>
      </c>
      <c r="K135" s="266" t="str">
        <f t="shared" si="3"/>
        <v>Vanguard S&amp;P 500 UCITS</v>
      </c>
      <c r="L135" s="156">
        <f t="shared" si="4"/>
        <v>4293</v>
      </c>
      <c r="M135" s="156">
        <f t="shared" si="5"/>
        <v>-183260.93</v>
      </c>
      <c r="N135" s="155" t="str">
        <f>IF($P135&lt;&gt;"",IF(MAXIFS(Investment!$M:$M,Investment!$H:$H,LEFT($P135,30)&amp;"*"),MAXIFS(Investment!$M:$M,Investment!$H:$H,LEFT($P135,30)&amp;"*"),),)</f>
        <v/>
      </c>
      <c r="O135" s="158" t="str">
        <f>IF($P135&lt;&gt;"",IF(MAXIFS(Investment!$AH:$AH,Investment!$H:$H,LEFT($P135,30)&amp;"*"),MAXIFS(Investment!$AH:$AH,Investment!$H:$H,LEFT($P135,30)&amp;"*"),),)</f>
        <v/>
      </c>
      <c r="P135" s="141"/>
      <c r="Q135" s="145"/>
      <c r="R135" s="138"/>
    </row>
    <row r="136">
      <c r="A136" s="122">
        <v>43508.0</v>
      </c>
      <c r="B136" s="55" t="s">
        <v>328</v>
      </c>
      <c r="C136" s="55" t="s">
        <v>329</v>
      </c>
      <c r="D136" s="55" t="s">
        <v>330</v>
      </c>
      <c r="E136" s="50">
        <v>170.0</v>
      </c>
      <c r="F136" s="264">
        <v>7.213</v>
      </c>
      <c r="G136" s="128">
        <v>-1226.21</v>
      </c>
      <c r="H136" s="130" t="s">
        <v>826</v>
      </c>
      <c r="I136" s="138">
        <f t="shared" ref="I136:J136" si="138">IFS(AND($B136&lt;&gt;"",$E136&lt;&gt;""),IF(INDEX(N:N,MATCH($C136,$P:$P,0),1)&lt;&gt;"",$E136*INDEX(N:N,MATCH($C136,$P:$P,0),1)+$G136,""),AND($B136&lt;&gt;"",$D136="COST",$G136&lt;0),$G136,TRUE,)</f>
        <v>-1.87</v>
      </c>
      <c r="J136" s="138">
        <f t="shared" si="138"/>
        <v>18.42308594</v>
      </c>
      <c r="K136" s="266" t="str">
        <f t="shared" si="3"/>
        <v>ETFS All Commodities ETC</v>
      </c>
      <c r="L136" s="156">
        <f t="shared" si="4"/>
        <v>11470</v>
      </c>
      <c r="M136" s="156">
        <f t="shared" si="5"/>
        <v>-83154.49</v>
      </c>
      <c r="N136" s="155" t="str">
        <f>IF($P136&lt;&gt;"",IF(MAXIFS(Investment!$M:$M,Investment!$H:$H,LEFT($P136,30)&amp;"*"),MAXIFS(Investment!$M:$M,Investment!$H:$H,LEFT($P136,30)&amp;"*"),),)</f>
        <v/>
      </c>
      <c r="O136" s="158" t="str">
        <f>IF($P136&lt;&gt;"",IF(MAXIFS(Investment!$AH:$AH,Investment!$H:$H,LEFT($P136,30)&amp;"*"),MAXIFS(Investment!$AH:$AH,Investment!$H:$H,LEFT($P136,30)&amp;"*"),),)</f>
        <v/>
      </c>
      <c r="P136" s="141"/>
      <c r="Q136" s="145"/>
      <c r="R136" s="138"/>
    </row>
    <row r="137">
      <c r="A137" s="122">
        <v>43508.0</v>
      </c>
      <c r="B137" s="55" t="s">
        <v>328</v>
      </c>
      <c r="C137" s="55" t="s">
        <v>329</v>
      </c>
      <c r="D137" s="55" t="s">
        <v>330</v>
      </c>
      <c r="E137" s="50">
        <v>30.0</v>
      </c>
      <c r="F137" s="264">
        <v>7.2139</v>
      </c>
      <c r="G137" s="128">
        <v>-216.42</v>
      </c>
      <c r="H137" s="130" t="s">
        <v>838</v>
      </c>
      <c r="I137" s="138">
        <f t="shared" ref="I137:J137" si="139">IFS(AND($B137&lt;&gt;"",$E137&lt;&gt;""),IF(INDEX(N:N,MATCH($C137,$P:$P,0),1)&lt;&gt;"",$E137*INDEX(N:N,MATCH($C137,$P:$P,0),1)+$G137,""),AND($B137&lt;&gt;"",$D137="COST",$G137&lt;0),$G137,TRUE,)</f>
        <v>-0.36</v>
      </c>
      <c r="J137" s="138">
        <f t="shared" si="139"/>
        <v>3.221132812</v>
      </c>
      <c r="K137" s="266" t="str">
        <f t="shared" si="3"/>
        <v>ETFS All Commodities ETC</v>
      </c>
      <c r="L137" s="156">
        <f t="shared" si="4"/>
        <v>11470</v>
      </c>
      <c r="M137" s="156">
        <f t="shared" si="5"/>
        <v>-83154.49</v>
      </c>
      <c r="N137" s="155" t="str">
        <f>IF($P137&lt;&gt;"",IF(MAXIFS(Investment!$M:$M,Investment!$H:$H,LEFT($P137,30)&amp;"*"),MAXIFS(Investment!$M:$M,Investment!$H:$H,LEFT($P137,30)&amp;"*"),),)</f>
        <v/>
      </c>
      <c r="O137" s="158" t="str">
        <f>IF($P137&lt;&gt;"",IF(MAXIFS(Investment!$AH:$AH,Investment!$H:$H,LEFT($P137,30)&amp;"*"),MAXIFS(Investment!$AH:$AH,Investment!$H:$H,LEFT($P137,30)&amp;"*"),),)</f>
        <v/>
      </c>
      <c r="P137" s="141"/>
      <c r="Q137" s="145"/>
      <c r="R137" s="138"/>
    </row>
    <row r="138">
      <c r="A138" s="122">
        <v>43508.0</v>
      </c>
      <c r="B138" s="55" t="s">
        <v>343</v>
      </c>
      <c r="C138" s="55" t="s">
        <v>344</v>
      </c>
      <c r="D138" s="55" t="s">
        <v>319</v>
      </c>
      <c r="E138" s="50">
        <v>-54.0</v>
      </c>
      <c r="F138" s="264">
        <v>45.9159</v>
      </c>
      <c r="G138" s="128">
        <v>2479.46</v>
      </c>
      <c r="H138" s="130" t="s">
        <v>859</v>
      </c>
      <c r="I138" s="138">
        <f t="shared" ref="I138:J138" si="140">IFS(AND($B138&lt;&gt;"",$E138&lt;&gt;""),IF(INDEX(N:N,MATCH($C138,$P:$P,0),1)&lt;&gt;"",$E138*INDEX(N:N,MATCH($C138,$P:$P,0),1)+$G138,""),AND($B138&lt;&gt;"",$D138="COST",$G138&lt;0),$G138,TRUE,)</f>
        <v>-150.394</v>
      </c>
      <c r="J138" s="138">
        <f t="shared" si="140"/>
        <v>-26.6378125</v>
      </c>
      <c r="K138" s="266" t="str">
        <f t="shared" si="3"/>
        <v>Vanguard S&amp;P 500 UCITS</v>
      </c>
      <c r="L138" s="156">
        <f t="shared" si="4"/>
        <v>4293</v>
      </c>
      <c r="M138" s="156">
        <f t="shared" si="5"/>
        <v>-183260.93</v>
      </c>
      <c r="N138" s="155" t="str">
        <f>IF($P138&lt;&gt;"",IF(MAXIFS(Investment!$M:$M,Investment!$H:$H,LEFT($P138,30)&amp;"*"),MAXIFS(Investment!$M:$M,Investment!$H:$H,LEFT($P138,30)&amp;"*"),),)</f>
        <v/>
      </c>
      <c r="O138" s="158" t="str">
        <f>IF($P138&lt;&gt;"",IF(MAXIFS(Investment!$AH:$AH,Investment!$H:$H,LEFT($P138,30)&amp;"*"),MAXIFS(Investment!$AH:$AH,Investment!$H:$H,LEFT($P138,30)&amp;"*"),),)</f>
        <v/>
      </c>
      <c r="P138" s="141"/>
      <c r="Q138" s="145"/>
      <c r="R138" s="138"/>
    </row>
    <row r="139">
      <c r="A139" s="122">
        <v>43504.0</v>
      </c>
      <c r="B139" s="55" t="s">
        <v>268</v>
      </c>
      <c r="C139" s="55" t="s">
        <v>673</v>
      </c>
      <c r="D139" s="55" t="s">
        <v>319</v>
      </c>
      <c r="E139" s="50">
        <v>-270.0</v>
      </c>
      <c r="F139" s="264">
        <v>4.038</v>
      </c>
      <c r="G139" s="128">
        <v>1090.17</v>
      </c>
      <c r="H139" s="130" t="s">
        <v>872</v>
      </c>
      <c r="I139" s="138">
        <f t="shared" ref="I139:J139" si="141">IFS(AND($B139&lt;&gt;"",$E139&lt;&gt;""),IF(INDEX(N:N,MATCH($C139,$P:$P,0),1)&lt;&gt;"",$E139*INDEX(N:N,MATCH($C139,$P:$P,0),1)+$G139,""),AND($B139&lt;&gt;"",$D139="COST",$G139&lt;0),$G139,TRUE,)</f>
        <v>-83.25</v>
      </c>
      <c r="J139" s="138">
        <f t="shared" si="141"/>
        <v>14.9235293</v>
      </c>
      <c r="K139" s="266" t="str">
        <f t="shared" si="3"/>
        <v>iShares Treasury Bond 20+ UCITS USD Dist</v>
      </c>
      <c r="L139" s="156">
        <f t="shared" si="4"/>
        <v>0</v>
      </c>
      <c r="M139" s="156">
        <f t="shared" si="5"/>
        <v>27424.23</v>
      </c>
      <c r="N139" s="155" t="str">
        <f>IF($P139&lt;&gt;"",IF(MAXIFS(Investment!$M:$M,Investment!$H:$H,LEFT($P139,30)&amp;"*"),MAXIFS(Investment!$M:$M,Investment!$H:$H,LEFT($P139,30)&amp;"*"),),)</f>
        <v/>
      </c>
      <c r="O139" s="158" t="str">
        <f>IF($P139&lt;&gt;"",IF(MAXIFS(Investment!$AH:$AH,Investment!$H:$H,LEFT($P139,30)&amp;"*"),MAXIFS(Investment!$AH:$AH,Investment!$H:$H,LEFT($P139,30)&amp;"*"),),)</f>
        <v/>
      </c>
      <c r="P139" s="141"/>
      <c r="Q139" s="145"/>
      <c r="R139" s="138"/>
    </row>
    <row r="140">
      <c r="A140" s="122">
        <v>43504.0</v>
      </c>
      <c r="B140" s="55" t="s">
        <v>268</v>
      </c>
      <c r="C140" s="55" t="s">
        <v>673</v>
      </c>
      <c r="D140" s="55" t="s">
        <v>378</v>
      </c>
      <c r="E140" s="50"/>
      <c r="F140" s="264"/>
      <c r="G140" s="128">
        <v>-2.22</v>
      </c>
      <c r="H140" s="130" t="s">
        <v>433</v>
      </c>
      <c r="I140" s="138">
        <f t="shared" ref="I140:J140" si="142">IFS(AND($B140&lt;&gt;"",$E140&lt;&gt;""),IF(INDEX(N:N,MATCH($C140,$P:$P,0),1)&lt;&gt;"",$E140*INDEX(N:N,MATCH($C140,$P:$P,0),1)+$G140,""),AND($B140&lt;&gt;"",$D140="COST",$G140&lt;0),$G140,TRUE,)</f>
        <v>-2.22</v>
      </c>
      <c r="J140" s="138">
        <f t="shared" si="142"/>
        <v>-2.22</v>
      </c>
      <c r="K140" s="266" t="str">
        <f t="shared" si="3"/>
        <v>iShares Treasury Bond 20+ UCITS USD Dist</v>
      </c>
      <c r="L140" s="156">
        <f t="shared" si="4"/>
        <v>0</v>
      </c>
      <c r="M140" s="156">
        <f t="shared" si="5"/>
        <v>27424.23</v>
      </c>
      <c r="N140" s="155" t="str">
        <f>IF($P140&lt;&gt;"",IF(MAXIFS(Investment!$M:$M,Investment!$H:$H,LEFT($P140,30)&amp;"*"),MAXIFS(Investment!$M:$M,Investment!$H:$H,LEFT($P140,30)&amp;"*"),),)</f>
        <v/>
      </c>
      <c r="O140" s="158" t="str">
        <f>IF($P140&lt;&gt;"",IF(MAXIFS(Investment!$AH:$AH,Investment!$H:$H,LEFT($P140,30)&amp;"*"),MAXIFS(Investment!$AH:$AH,Investment!$H:$H,LEFT($P140,30)&amp;"*"),),)</f>
        <v/>
      </c>
      <c r="P140" s="141"/>
      <c r="Q140" s="145"/>
      <c r="R140" s="138"/>
    </row>
    <row r="141">
      <c r="A141" s="122">
        <v>43504.0</v>
      </c>
      <c r="B141" s="55" t="s">
        <v>364</v>
      </c>
      <c r="C141" s="55" t="s">
        <v>366</v>
      </c>
      <c r="D141" s="55" t="s">
        <v>319</v>
      </c>
      <c r="E141" s="50">
        <v>-6.0</v>
      </c>
      <c r="F141" s="264">
        <v>170.5</v>
      </c>
      <c r="G141" s="128">
        <v>1023.0</v>
      </c>
      <c r="H141" s="130" t="s">
        <v>891</v>
      </c>
      <c r="I141" s="138">
        <f t="shared" ref="I141:J141" si="143">IFS(AND($B141&lt;&gt;"",$E141&lt;&gt;""),IF(INDEX(N:N,MATCH($C141,$P:$P,0),1)&lt;&gt;"",$E141*INDEX(N:N,MATCH($C141,$P:$P,0),1)+$G141,""),AND($B141&lt;&gt;"",$D141="COST",$G141&lt;0),$G141,TRUE,)</f>
        <v>-42</v>
      </c>
      <c r="J141" s="138">
        <f t="shared" si="143"/>
        <v>16.40976563</v>
      </c>
      <c r="K141" s="266" t="str">
        <f t="shared" si="3"/>
        <v>iShares Treasury Bond 7-10 UCITS</v>
      </c>
      <c r="L141" s="156">
        <f t="shared" si="4"/>
        <v>597</v>
      </c>
      <c r="M141" s="156">
        <f t="shared" si="5"/>
        <v>-91106.6</v>
      </c>
      <c r="N141" s="155" t="str">
        <f>IF($P141&lt;&gt;"",IF(MAXIFS(Investment!$M:$M,Investment!$H:$H,LEFT($P141,30)&amp;"*"),MAXIFS(Investment!$M:$M,Investment!$H:$H,LEFT($P141,30)&amp;"*"),),)</f>
        <v/>
      </c>
      <c r="O141" s="158" t="str">
        <f>IF($P141&lt;&gt;"",IF(MAXIFS(Investment!$AH:$AH,Investment!$H:$H,LEFT($P141,30)&amp;"*"),MAXIFS(Investment!$AH:$AH,Investment!$H:$H,LEFT($P141,30)&amp;"*"),),)</f>
        <v/>
      </c>
      <c r="P141" s="141"/>
      <c r="Q141" s="145"/>
      <c r="R141" s="138"/>
    </row>
    <row r="142">
      <c r="A142" s="122">
        <v>43504.0</v>
      </c>
      <c r="B142" s="55" t="s">
        <v>268</v>
      </c>
      <c r="C142" s="55" t="s">
        <v>673</v>
      </c>
      <c r="D142" s="55" t="s">
        <v>319</v>
      </c>
      <c r="E142" s="50">
        <v>-816.0</v>
      </c>
      <c r="F142" s="264">
        <v>4.031</v>
      </c>
      <c r="G142" s="128">
        <v>3289.3</v>
      </c>
      <c r="H142" s="130" t="s">
        <v>896</v>
      </c>
      <c r="I142" s="138">
        <f t="shared" ref="I142:J142" si="144">IFS(AND($B142&lt;&gt;"",$E142&lt;&gt;""),IF(INDEX(N:N,MATCH($C142,$P:$P,0),1)&lt;&gt;"",$E142*INDEX(N:N,MATCH($C142,$P:$P,0),1)+$G142,""),AND($B142&lt;&gt;"",$D142="COST",$G142&lt;0),$G142,TRUE,)</f>
        <v>-257.036</v>
      </c>
      <c r="J142" s="138">
        <f t="shared" si="144"/>
        <v>39.66622188</v>
      </c>
      <c r="K142" s="266" t="str">
        <f t="shared" si="3"/>
        <v>iShares Treasury Bond 20+ UCITS USD Dist</v>
      </c>
      <c r="L142" s="156">
        <f t="shared" si="4"/>
        <v>0</v>
      </c>
      <c r="M142" s="156">
        <f t="shared" si="5"/>
        <v>27424.23</v>
      </c>
      <c r="N142" s="155" t="str">
        <f>IF($P142&lt;&gt;"",IF(MAXIFS(Investment!$M:$M,Investment!$H:$H,LEFT($P142,30)&amp;"*"),MAXIFS(Investment!$M:$M,Investment!$H:$H,LEFT($P142,30)&amp;"*"),),)</f>
        <v/>
      </c>
      <c r="O142" s="158" t="str">
        <f>IF($P142&lt;&gt;"",IF(MAXIFS(Investment!$AH:$AH,Investment!$H:$H,LEFT($P142,30)&amp;"*"),MAXIFS(Investment!$AH:$AH,Investment!$H:$H,LEFT($P142,30)&amp;"*"),),)</f>
        <v/>
      </c>
      <c r="P142" s="141"/>
      <c r="Q142" s="145"/>
      <c r="R142" s="138"/>
    </row>
    <row r="143">
      <c r="A143" s="122">
        <v>43504.0</v>
      </c>
      <c r="B143" s="55" t="s">
        <v>268</v>
      </c>
      <c r="C143" s="55" t="s">
        <v>673</v>
      </c>
      <c r="D143" s="55" t="s">
        <v>378</v>
      </c>
      <c r="E143" s="50"/>
      <c r="F143" s="264"/>
      <c r="G143" s="128">
        <v>-2.66</v>
      </c>
      <c r="H143" s="130" t="s">
        <v>897</v>
      </c>
      <c r="I143" s="138">
        <f t="shared" ref="I143:J143" si="145">IFS(AND($B143&lt;&gt;"",$E143&lt;&gt;""),IF(INDEX(N:N,MATCH($C143,$P:$P,0),1)&lt;&gt;"",$E143*INDEX(N:N,MATCH($C143,$P:$P,0),1)+$G143,""),AND($B143&lt;&gt;"",$D143="COST",$G143&lt;0),$G143,TRUE,)</f>
        <v>-2.66</v>
      </c>
      <c r="J143" s="138">
        <f t="shared" si="145"/>
        <v>-2.66</v>
      </c>
      <c r="K143" s="266" t="str">
        <f t="shared" si="3"/>
        <v>iShares Treasury Bond 20+ UCITS USD Dist</v>
      </c>
      <c r="L143" s="156">
        <f t="shared" si="4"/>
        <v>0</v>
      </c>
      <c r="M143" s="156">
        <f t="shared" si="5"/>
        <v>27424.23</v>
      </c>
      <c r="N143" s="155" t="str">
        <f>IF($P143&lt;&gt;"",IF(MAXIFS(Investment!$M:$M,Investment!$H:$H,LEFT($P143,30)&amp;"*"),MAXIFS(Investment!$M:$M,Investment!$H:$H,LEFT($P143,30)&amp;"*"),),)</f>
        <v/>
      </c>
      <c r="O143" s="158" t="str">
        <f>IF($P143&lt;&gt;"",IF(MAXIFS(Investment!$AH:$AH,Investment!$H:$H,LEFT($P143,30)&amp;"*"),MAXIFS(Investment!$AH:$AH,Investment!$H:$H,LEFT($P143,30)&amp;"*"),),)</f>
        <v/>
      </c>
      <c r="P143" s="141"/>
      <c r="Q143" s="145"/>
      <c r="R143" s="138"/>
    </row>
    <row r="144">
      <c r="A144" s="122">
        <v>43503.0</v>
      </c>
      <c r="B144" s="55" t="s">
        <v>364</v>
      </c>
      <c r="C144" s="55" t="s">
        <v>366</v>
      </c>
      <c r="D144" s="55" t="s">
        <v>319</v>
      </c>
      <c r="E144" s="50">
        <v>-7.0</v>
      </c>
      <c r="F144" s="264">
        <v>169.97</v>
      </c>
      <c r="G144" s="128">
        <v>1189.79</v>
      </c>
      <c r="H144" s="130" t="s">
        <v>900</v>
      </c>
      <c r="I144" s="138">
        <f t="shared" ref="I144:J144" si="146">IFS(AND($B144&lt;&gt;"",$E144&lt;&gt;""),IF(INDEX(N:N,MATCH($C144,$P:$P,0),1)&lt;&gt;"",$E144*INDEX(N:N,MATCH($C144,$P:$P,0),1)+$G144,""),AND($B144&lt;&gt;"",$D144="COST",$G144&lt;0),$G144,TRUE,)</f>
        <v>-52.71</v>
      </c>
      <c r="J144" s="138">
        <f t="shared" si="146"/>
        <v>15.43472656</v>
      </c>
      <c r="K144" s="266" t="str">
        <f t="shared" si="3"/>
        <v>iShares Treasury Bond 7-10 UCITS</v>
      </c>
      <c r="L144" s="156">
        <f t="shared" si="4"/>
        <v>597</v>
      </c>
      <c r="M144" s="156">
        <f t="shared" si="5"/>
        <v>-91106.6</v>
      </c>
      <c r="N144" s="155" t="str">
        <f>IF($P144&lt;&gt;"",IF(MAXIFS(Investment!$M:$M,Investment!$H:$H,LEFT($P144,30)&amp;"*"),MAXIFS(Investment!$M:$M,Investment!$H:$H,LEFT($P144,30)&amp;"*"),),)</f>
        <v/>
      </c>
      <c r="O144" s="158" t="str">
        <f>IF($P144&lt;&gt;"",IF(MAXIFS(Investment!$AH:$AH,Investment!$H:$H,LEFT($P144,30)&amp;"*"),MAXIFS(Investment!$AH:$AH,Investment!$H:$H,LEFT($P144,30)&amp;"*"),),)</f>
        <v/>
      </c>
      <c r="P144" s="141"/>
      <c r="Q144" s="145"/>
      <c r="R144" s="138"/>
    </row>
    <row r="145">
      <c r="A145" s="122">
        <v>43503.0</v>
      </c>
      <c r="B145" s="55" t="s">
        <v>268</v>
      </c>
      <c r="C145" s="55" t="s">
        <v>673</v>
      </c>
      <c r="D145" s="55" t="s">
        <v>319</v>
      </c>
      <c r="E145" s="50">
        <v>-500.0</v>
      </c>
      <c r="F145" s="264">
        <v>4.006</v>
      </c>
      <c r="G145" s="128">
        <v>2003.03</v>
      </c>
      <c r="H145" s="130" t="s">
        <v>904</v>
      </c>
      <c r="I145" s="138">
        <f t="shared" ref="I145:J145" si="147">IFS(AND($B145&lt;&gt;"",$E145&lt;&gt;""),IF(INDEX(N:N,MATCH($C145,$P:$P,0),1)&lt;&gt;"",$E145*INDEX(N:N,MATCH($C145,$P:$P,0),1)+$G145,""),AND($B145&lt;&gt;"",$D145="COST",$G145&lt;0),$G145,TRUE,)</f>
        <v>-169.97</v>
      </c>
      <c r="J145" s="138">
        <f t="shared" si="147"/>
        <v>11.83283203</v>
      </c>
      <c r="K145" s="266" t="str">
        <f t="shared" si="3"/>
        <v>iShares Treasury Bond 20+ UCITS USD Dist</v>
      </c>
      <c r="L145" s="156">
        <f t="shared" si="4"/>
        <v>0</v>
      </c>
      <c r="M145" s="156">
        <f t="shared" si="5"/>
        <v>27424.23</v>
      </c>
      <c r="N145" s="155" t="str">
        <f>IF($P145&lt;&gt;"",IF(MAXIFS(Investment!$M:$M,Investment!$H:$H,LEFT($P145,30)&amp;"*"),MAXIFS(Investment!$M:$M,Investment!$H:$H,LEFT($P145,30)&amp;"*"),),)</f>
        <v/>
      </c>
      <c r="O145" s="158" t="str">
        <f>IF($P145&lt;&gt;"",IF(MAXIFS(Investment!$AH:$AH,Investment!$H:$H,LEFT($P145,30)&amp;"*"),MAXIFS(Investment!$AH:$AH,Investment!$H:$H,LEFT($P145,30)&amp;"*"),),)</f>
        <v/>
      </c>
      <c r="P145" s="141"/>
      <c r="Q145" s="145"/>
      <c r="R145" s="138"/>
    </row>
    <row r="146">
      <c r="A146" s="122">
        <v>43503.0</v>
      </c>
      <c r="B146" s="55" t="s">
        <v>268</v>
      </c>
      <c r="C146" s="55" t="s">
        <v>673</v>
      </c>
      <c r="D146" s="55" t="s">
        <v>378</v>
      </c>
      <c r="E146" s="50"/>
      <c r="F146" s="264"/>
      <c r="G146" s="128">
        <v>-2.4</v>
      </c>
      <c r="H146" s="130" t="s">
        <v>905</v>
      </c>
      <c r="I146" s="138">
        <f t="shared" ref="I146:J146" si="148">IFS(AND($B146&lt;&gt;"",$E146&lt;&gt;""),IF(INDEX(N:N,MATCH($C146,$P:$P,0),1)&lt;&gt;"",$E146*INDEX(N:N,MATCH($C146,$P:$P,0),1)+$G146,""),AND($B146&lt;&gt;"",$D146="COST",$G146&lt;0),$G146,TRUE,)</f>
        <v>-2.4</v>
      </c>
      <c r="J146" s="138">
        <f t="shared" si="148"/>
        <v>-2.4</v>
      </c>
      <c r="K146" s="266" t="str">
        <f t="shared" si="3"/>
        <v>iShares Treasury Bond 20+ UCITS USD Dist</v>
      </c>
      <c r="L146" s="156">
        <f t="shared" si="4"/>
        <v>0</v>
      </c>
      <c r="M146" s="156">
        <f t="shared" si="5"/>
        <v>27424.23</v>
      </c>
      <c r="N146" s="155" t="str">
        <f>IF($P146&lt;&gt;"",IF(MAXIFS(Investment!$M:$M,Investment!$H:$H,LEFT($P146,30)&amp;"*"),MAXIFS(Investment!$M:$M,Investment!$H:$H,LEFT($P146,30)&amp;"*"),),)</f>
        <v/>
      </c>
      <c r="O146" s="158" t="str">
        <f>IF($P146&lt;&gt;"",IF(MAXIFS(Investment!$AH:$AH,Investment!$H:$H,LEFT($P146,30)&amp;"*"),MAXIFS(Investment!$AH:$AH,Investment!$H:$H,LEFT($P146,30)&amp;"*"),),)</f>
        <v/>
      </c>
      <c r="P146" s="141"/>
      <c r="Q146" s="145"/>
      <c r="R146" s="138"/>
    </row>
    <row r="147">
      <c r="A147" s="122">
        <v>43503.0</v>
      </c>
      <c r="B147" s="55" t="s">
        <v>268</v>
      </c>
      <c r="C147" s="55" t="s">
        <v>673</v>
      </c>
      <c r="D147" s="55" t="s">
        <v>378</v>
      </c>
      <c r="E147" s="50"/>
      <c r="F147" s="264"/>
      <c r="G147" s="128">
        <v>-2.2</v>
      </c>
      <c r="H147" s="130" t="s">
        <v>906</v>
      </c>
      <c r="I147" s="138">
        <f t="shared" ref="I147:J147" si="149">IFS(AND($B147&lt;&gt;"",$E147&lt;&gt;""),IF(INDEX(N:N,MATCH($C147,$P:$P,0),1)&lt;&gt;"",$E147*INDEX(N:N,MATCH($C147,$P:$P,0),1)+$G147,""),AND($B147&lt;&gt;"",$D147="COST",$G147&lt;0),$G147,TRUE,)</f>
        <v>-2.2</v>
      </c>
      <c r="J147" s="138">
        <f t="shared" si="149"/>
        <v>-2.2</v>
      </c>
      <c r="K147" s="266" t="str">
        <f t="shared" si="3"/>
        <v>iShares Treasury Bond 20+ UCITS USD Dist</v>
      </c>
      <c r="L147" s="156">
        <f t="shared" si="4"/>
        <v>0</v>
      </c>
      <c r="M147" s="156">
        <f t="shared" si="5"/>
        <v>27424.23</v>
      </c>
      <c r="N147" s="155" t="str">
        <f>IF($P147&lt;&gt;"",IF(MAXIFS(Investment!$M:$M,Investment!$H:$H,LEFT($P147,30)&amp;"*"),MAXIFS(Investment!$M:$M,Investment!$H:$H,LEFT($P147,30)&amp;"*"),),)</f>
        <v/>
      </c>
      <c r="O147" s="158" t="str">
        <f>IF($P147&lt;&gt;"",IF(MAXIFS(Investment!$AH:$AH,Investment!$H:$H,LEFT($P147,30)&amp;"*"),MAXIFS(Investment!$AH:$AH,Investment!$H:$H,LEFT($P147,30)&amp;"*"),),)</f>
        <v/>
      </c>
      <c r="P147" s="141"/>
      <c r="Q147" s="145"/>
      <c r="R147" s="138"/>
    </row>
    <row r="148">
      <c r="A148" s="122">
        <v>43503.0</v>
      </c>
      <c r="B148" s="55" t="s">
        <v>268</v>
      </c>
      <c r="C148" s="55" t="s">
        <v>673</v>
      </c>
      <c r="D148" s="55" t="s">
        <v>319</v>
      </c>
      <c r="E148" s="50">
        <v>-255.0</v>
      </c>
      <c r="F148" s="264">
        <v>3.992</v>
      </c>
      <c r="G148" s="128">
        <v>1017.88</v>
      </c>
      <c r="H148" s="130" t="s">
        <v>909</v>
      </c>
      <c r="I148" s="138">
        <f t="shared" ref="I148:J148" si="150">IFS(AND($B148&lt;&gt;"",$E148&lt;&gt;""),IF(INDEX(N:N,MATCH($C148,$P:$P,0),1)&lt;&gt;"",$E148*INDEX(N:N,MATCH($C148,$P:$P,0),1)+$G148,""),AND($B148&lt;&gt;"",$D148="COST",$G148&lt;0),$G148,TRUE,)</f>
        <v>-90.35</v>
      </c>
      <c r="J148" s="138">
        <f t="shared" si="150"/>
        <v>2.369444336</v>
      </c>
      <c r="K148" s="266" t="str">
        <f t="shared" si="3"/>
        <v>iShares Treasury Bond 20+ UCITS USD Dist</v>
      </c>
      <c r="L148" s="156">
        <f t="shared" si="4"/>
        <v>0</v>
      </c>
      <c r="M148" s="156">
        <f t="shared" si="5"/>
        <v>27424.23</v>
      </c>
      <c r="N148" s="155" t="str">
        <f>IF($P148&lt;&gt;"",IF(MAXIFS(Investment!$M:$M,Investment!$H:$H,LEFT($P148,30)&amp;"*"),MAXIFS(Investment!$M:$M,Investment!$H:$H,LEFT($P148,30)&amp;"*"),),)</f>
        <v/>
      </c>
      <c r="O148" s="158" t="str">
        <f>IF($P148&lt;&gt;"",IF(MAXIFS(Investment!$AH:$AH,Investment!$H:$H,LEFT($P148,30)&amp;"*"),MAXIFS(Investment!$AH:$AH,Investment!$H:$H,LEFT($P148,30)&amp;"*"),),)</f>
        <v/>
      </c>
      <c r="P148" s="141"/>
      <c r="Q148" s="145"/>
      <c r="R148" s="138"/>
    </row>
    <row r="149">
      <c r="A149" s="122">
        <v>43501.0</v>
      </c>
      <c r="B149" s="55" t="s">
        <v>343</v>
      </c>
      <c r="C149" s="55" t="s">
        <v>344</v>
      </c>
      <c r="D149" s="55" t="s">
        <v>319</v>
      </c>
      <c r="E149" s="50">
        <v>-27.0</v>
      </c>
      <c r="F149" s="264">
        <v>45.3759</v>
      </c>
      <c r="G149" s="128">
        <v>1225.15</v>
      </c>
      <c r="H149" s="130" t="s">
        <v>910</v>
      </c>
      <c r="I149" s="138">
        <f t="shared" ref="I149:J149" si="151">IFS(AND($B149&lt;&gt;"",$E149&lt;&gt;""),IF(INDEX(N:N,MATCH($C149,$P:$P,0),1)&lt;&gt;"",$E149*INDEX(N:N,MATCH($C149,$P:$P,0),1)+$G149,""),AND($B149&lt;&gt;"",$D149="COST",$G149&lt;0),$G149,TRUE,)</f>
        <v>-89.777</v>
      </c>
      <c r="J149" s="138">
        <f t="shared" si="151"/>
        <v>-27.89890625</v>
      </c>
      <c r="K149" s="266" t="str">
        <f t="shared" si="3"/>
        <v>Vanguard S&amp;P 500 UCITS</v>
      </c>
      <c r="L149" s="156">
        <f t="shared" si="4"/>
        <v>4293</v>
      </c>
      <c r="M149" s="156">
        <f t="shared" si="5"/>
        <v>-183260.93</v>
      </c>
      <c r="N149" s="155" t="str">
        <f>IF($P149&lt;&gt;"",IF(MAXIFS(Investment!$M:$M,Investment!$H:$H,LEFT($P149,30)&amp;"*"),MAXIFS(Investment!$M:$M,Investment!$H:$H,LEFT($P149,30)&amp;"*"),),)</f>
        <v/>
      </c>
      <c r="O149" s="158" t="str">
        <f>IF($P149&lt;&gt;"",IF(MAXIFS(Investment!$AH:$AH,Investment!$H:$H,LEFT($P149,30)&amp;"*"),MAXIFS(Investment!$AH:$AH,Investment!$H:$H,LEFT($P149,30)&amp;"*"),),)</f>
        <v/>
      </c>
      <c r="P149" s="141"/>
      <c r="Q149" s="145"/>
      <c r="R149" s="138"/>
    </row>
    <row r="150">
      <c r="A150" s="122">
        <v>43501.0</v>
      </c>
      <c r="B150" s="55"/>
      <c r="C150" s="55"/>
      <c r="D150" s="55" t="s">
        <v>312</v>
      </c>
      <c r="E150" s="50"/>
      <c r="F150" s="264"/>
      <c r="G150" s="128">
        <v>-400.0</v>
      </c>
      <c r="H150" s="130" t="s">
        <v>914</v>
      </c>
      <c r="I150" s="138" t="str">
        <f t="shared" ref="I150:J150" si="152">IFS(AND($B150&lt;&gt;"",$E150&lt;&gt;""),IF(INDEX(N:N,MATCH($C150,$P:$P,0),1)&lt;&gt;"",$E150*INDEX(N:N,MATCH($C150,$P:$P,0),1)+$G150,""),AND($B150&lt;&gt;"",$D150="COST",$G150&lt;0),$G150,TRUE,)</f>
        <v/>
      </c>
      <c r="J150" s="138" t="str">
        <f t="shared" si="152"/>
        <v/>
      </c>
      <c r="K150" s="266" t="str">
        <f t="shared" si="3"/>
        <v/>
      </c>
      <c r="L150" s="156" t="str">
        <f t="shared" si="4"/>
        <v/>
      </c>
      <c r="M150" s="156" t="str">
        <f t="shared" si="5"/>
        <v/>
      </c>
      <c r="N150" s="155" t="str">
        <f>IF($P150&lt;&gt;"",IF(MAXIFS(Investment!$M:$M,Investment!$H:$H,LEFT($P150,30)&amp;"*"),MAXIFS(Investment!$M:$M,Investment!$H:$H,LEFT($P150,30)&amp;"*"),),)</f>
        <v/>
      </c>
      <c r="O150" s="158" t="str">
        <f>IF($P150&lt;&gt;"",IF(MAXIFS(Investment!$AH:$AH,Investment!$H:$H,LEFT($P150,30)&amp;"*"),MAXIFS(Investment!$AH:$AH,Investment!$H:$H,LEFT($P150,30)&amp;"*"),),)</f>
        <v/>
      </c>
      <c r="P150" s="141"/>
      <c r="Q150" s="145"/>
      <c r="R150" s="138"/>
    </row>
    <row r="151">
      <c r="A151" s="122">
        <v>43497.0</v>
      </c>
      <c r="B151" s="55"/>
      <c r="C151" s="55"/>
      <c r="D151" s="55" t="s">
        <v>378</v>
      </c>
      <c r="E151" s="50"/>
      <c r="F151" s="264"/>
      <c r="G151" s="128">
        <v>-5.0</v>
      </c>
      <c r="H151" s="130" t="s">
        <v>915</v>
      </c>
      <c r="I151" s="138" t="str">
        <f t="shared" ref="I151:J151" si="153">IFS(AND($B151&lt;&gt;"",$E151&lt;&gt;""),IF(INDEX(N:N,MATCH($C151,$P:$P,0),1)&lt;&gt;"",$E151*INDEX(N:N,MATCH($C151,$P:$P,0),1)+$G151,""),AND($B151&lt;&gt;"",$D151="COST",$G151&lt;0),$G151,TRUE,)</f>
        <v/>
      </c>
      <c r="J151" s="138" t="str">
        <f t="shared" si="153"/>
        <v/>
      </c>
      <c r="K151" s="266" t="str">
        <f t="shared" si="3"/>
        <v/>
      </c>
      <c r="L151" s="156" t="str">
        <f t="shared" si="4"/>
        <v/>
      </c>
      <c r="M151" s="156" t="str">
        <f t="shared" si="5"/>
        <v/>
      </c>
      <c r="N151" s="155" t="str">
        <f>IF($P151&lt;&gt;"",IF(MAXIFS(Investment!$M:$M,Investment!$H:$H,LEFT($P151,30)&amp;"*"),MAXIFS(Investment!$M:$M,Investment!$H:$H,LEFT($P151,30)&amp;"*"),),)</f>
        <v/>
      </c>
      <c r="O151" s="158" t="str">
        <f>IF($P151&lt;&gt;"",IF(MAXIFS(Investment!$AH:$AH,Investment!$H:$H,LEFT($P151,30)&amp;"*"),MAXIFS(Investment!$AH:$AH,Investment!$H:$H,LEFT($P151,30)&amp;"*"),),)</f>
        <v/>
      </c>
      <c r="P151" s="141"/>
      <c r="Q151" s="145"/>
      <c r="R151" s="138"/>
    </row>
    <row r="152">
      <c r="A152" s="122">
        <v>43497.0</v>
      </c>
      <c r="B152" s="55"/>
      <c r="C152" s="55"/>
      <c r="D152" s="55" t="s">
        <v>378</v>
      </c>
      <c r="E152" s="50"/>
      <c r="F152" s="264"/>
      <c r="G152" s="128">
        <v>-5.0</v>
      </c>
      <c r="H152" s="130" t="s">
        <v>915</v>
      </c>
      <c r="I152" s="138" t="str">
        <f t="shared" ref="I152:J152" si="154">IFS(AND($B152&lt;&gt;"",$E152&lt;&gt;""),IF(INDEX(N:N,MATCH($C152,$P:$P,0),1)&lt;&gt;"",$E152*INDEX(N:N,MATCH($C152,$P:$P,0),1)+$G152,""),AND($B152&lt;&gt;"",$D152="COST",$G152&lt;0),$G152,TRUE,)</f>
        <v/>
      </c>
      <c r="J152" s="138" t="str">
        <f t="shared" si="154"/>
        <v/>
      </c>
      <c r="K152" s="266" t="str">
        <f t="shared" si="3"/>
        <v/>
      </c>
      <c r="L152" s="156" t="str">
        <f t="shared" si="4"/>
        <v/>
      </c>
      <c r="M152" s="156" t="str">
        <f t="shared" si="5"/>
        <v/>
      </c>
      <c r="N152" s="155" t="str">
        <f>IF($P152&lt;&gt;"",IF(MAXIFS(Investment!$M:$M,Investment!$H:$H,LEFT($P152,30)&amp;"*"),MAXIFS(Investment!$M:$M,Investment!$H:$H,LEFT($P152,30)&amp;"*"),),)</f>
        <v/>
      </c>
      <c r="O152" s="158" t="str">
        <f>IF($P152&lt;&gt;"",IF(MAXIFS(Investment!$AH:$AH,Investment!$H:$H,LEFT($P152,30)&amp;"*"),MAXIFS(Investment!$AH:$AH,Investment!$H:$H,LEFT($P152,30)&amp;"*"),),)</f>
        <v/>
      </c>
      <c r="P152" s="141"/>
      <c r="Q152" s="145"/>
      <c r="R152" s="138"/>
    </row>
    <row r="153">
      <c r="A153" s="122">
        <v>43497.0</v>
      </c>
      <c r="B153" s="55"/>
      <c r="C153" s="55"/>
      <c r="D153" s="55" t="s">
        <v>378</v>
      </c>
      <c r="E153" s="50"/>
      <c r="F153" s="264"/>
      <c r="G153" s="128">
        <v>5.0</v>
      </c>
      <c r="H153" s="130" t="s">
        <v>919</v>
      </c>
      <c r="I153" s="138" t="str">
        <f t="shared" ref="I153:J153" si="155">IFS(AND($B153&lt;&gt;"",$E153&lt;&gt;""),IF(INDEX(N:N,MATCH($C153,$P:$P,0),1)&lt;&gt;"",$E153*INDEX(N:N,MATCH($C153,$P:$P,0),1)+$G153,""),AND($B153&lt;&gt;"",$D153="COST",$G153&lt;0),$G153,TRUE,)</f>
        <v/>
      </c>
      <c r="J153" s="138" t="str">
        <f t="shared" si="155"/>
        <v/>
      </c>
      <c r="K153" s="266" t="str">
        <f t="shared" si="3"/>
        <v/>
      </c>
      <c r="L153" s="156" t="str">
        <f t="shared" si="4"/>
        <v/>
      </c>
      <c r="M153" s="156" t="str">
        <f t="shared" si="5"/>
        <v/>
      </c>
      <c r="N153" s="155" t="str">
        <f>IF($P153&lt;&gt;"",IF(MAXIFS(Investment!$M:$M,Investment!$H:$H,LEFT($P153,30)&amp;"*"),MAXIFS(Investment!$M:$M,Investment!$H:$H,LEFT($P153,30)&amp;"*"),),)</f>
        <v/>
      </c>
      <c r="O153" s="158" t="str">
        <f>IF($P153&lt;&gt;"",IF(MAXIFS(Investment!$AH:$AH,Investment!$H:$H,LEFT($P153,30)&amp;"*"),MAXIFS(Investment!$AH:$AH,Investment!$H:$H,LEFT($P153,30)&amp;"*"),),)</f>
        <v/>
      </c>
      <c r="P153" s="141"/>
      <c r="Q153" s="145"/>
      <c r="R153" s="138"/>
    </row>
    <row r="154">
      <c r="A154" s="122">
        <v>43497.0</v>
      </c>
      <c r="B154" s="55"/>
      <c r="C154" s="55"/>
      <c r="D154" s="55" t="s">
        <v>378</v>
      </c>
      <c r="E154" s="50"/>
      <c r="F154" s="264"/>
      <c r="G154" s="128">
        <v>-565.1</v>
      </c>
      <c r="H154" s="130" t="s">
        <v>921</v>
      </c>
      <c r="I154" s="138" t="str">
        <f t="shared" ref="I154:J154" si="156">IFS(AND($B154&lt;&gt;"",$E154&lt;&gt;""),IF(INDEX(N:N,MATCH($C154,$P:$P,0),1)&lt;&gt;"",$E154*INDEX(N:N,MATCH($C154,$P:$P,0),1)+$G154,""),AND($B154&lt;&gt;"",$D154="COST",$G154&lt;0),$G154,TRUE,)</f>
        <v/>
      </c>
      <c r="J154" s="138" t="str">
        <f t="shared" si="156"/>
        <v/>
      </c>
      <c r="K154" s="266" t="str">
        <f t="shared" si="3"/>
        <v/>
      </c>
      <c r="L154" s="156" t="str">
        <f t="shared" si="4"/>
        <v/>
      </c>
      <c r="M154" s="156" t="str">
        <f t="shared" si="5"/>
        <v/>
      </c>
      <c r="N154" s="155" t="str">
        <f>IF($P154&lt;&gt;"",IF(MAXIFS(Investment!$M:$M,Investment!$H:$H,LEFT($P154,30)&amp;"*"),MAXIFS(Investment!$M:$M,Investment!$H:$H,LEFT($P154,30)&amp;"*"),),)</f>
        <v/>
      </c>
      <c r="O154" s="158" t="str">
        <f>IF($P154&lt;&gt;"",IF(MAXIFS(Investment!$AH:$AH,Investment!$H:$H,LEFT($P154,30)&amp;"*"),MAXIFS(Investment!$AH:$AH,Investment!$H:$H,LEFT($P154,30)&amp;"*"),),)</f>
        <v/>
      </c>
      <c r="P154" s="141"/>
      <c r="Q154" s="145"/>
      <c r="R154" s="138"/>
    </row>
    <row r="155">
      <c r="A155" s="122">
        <v>43497.0</v>
      </c>
      <c r="B155" s="55" t="s">
        <v>343</v>
      </c>
      <c r="C155" s="55" t="s">
        <v>344</v>
      </c>
      <c r="D155" s="55" t="s">
        <v>319</v>
      </c>
      <c r="E155" s="50">
        <v>-45.0</v>
      </c>
      <c r="F155" s="264">
        <v>45.018</v>
      </c>
      <c r="G155" s="128">
        <v>2025.81</v>
      </c>
      <c r="H155" s="130" t="s">
        <v>925</v>
      </c>
      <c r="I155" s="138">
        <f t="shared" ref="I155:J155" si="157">IFS(AND($B155&lt;&gt;"",$E155&lt;&gt;""),IF(INDEX(N:N,MATCH($C155,$P:$P,0),1)&lt;&gt;"",$E155*INDEX(N:N,MATCH($C155,$P:$P,0),1)+$G155,""),AND($B155&lt;&gt;"",$D155="COST",$G155&lt;0),$G155,TRUE,)</f>
        <v>-165.735</v>
      </c>
      <c r="J155" s="138">
        <f t="shared" si="157"/>
        <v>-62.60484375</v>
      </c>
      <c r="K155" s="266" t="str">
        <f t="shared" si="3"/>
        <v>Vanguard S&amp;P 500 UCITS</v>
      </c>
      <c r="L155" s="156">
        <f t="shared" si="4"/>
        <v>4293</v>
      </c>
      <c r="M155" s="156">
        <f t="shared" si="5"/>
        <v>-183260.93</v>
      </c>
      <c r="N155" s="155" t="str">
        <f>IF($P155&lt;&gt;"",IF(MAXIFS(Investment!$M:$M,Investment!$H:$H,LEFT($P155,30)&amp;"*"),MAXIFS(Investment!$M:$M,Investment!$H:$H,LEFT($P155,30)&amp;"*"),),)</f>
        <v/>
      </c>
      <c r="O155" s="158" t="str">
        <f>IF($P155&lt;&gt;"",IF(MAXIFS(Investment!$AH:$AH,Investment!$H:$H,LEFT($P155,30)&amp;"*"),MAXIFS(Investment!$AH:$AH,Investment!$H:$H,LEFT($P155,30)&amp;"*"),),)</f>
        <v/>
      </c>
      <c r="P155" s="141"/>
      <c r="Q155" s="145"/>
      <c r="R155" s="138"/>
    </row>
    <row r="156">
      <c r="A156" s="122">
        <v>43497.0</v>
      </c>
      <c r="B156" s="55" t="s">
        <v>343</v>
      </c>
      <c r="C156" s="55" t="s">
        <v>344</v>
      </c>
      <c r="D156" s="55" t="s">
        <v>319</v>
      </c>
      <c r="E156" s="50">
        <v>-10.0</v>
      </c>
      <c r="F156" s="264">
        <v>44.797</v>
      </c>
      <c r="G156" s="128">
        <v>447.97</v>
      </c>
      <c r="H156" s="130" t="s">
        <v>929</v>
      </c>
      <c r="I156" s="138">
        <f t="shared" ref="I156:J156" si="158">IFS(AND($B156&lt;&gt;"",$E156&lt;&gt;""),IF(INDEX(N:N,MATCH($C156,$P:$P,0),1)&lt;&gt;"",$E156*INDEX(N:N,MATCH($C156,$P:$P,0),1)+$G156,""),AND($B156&lt;&gt;"",$D156="COST",$G156&lt;0),$G156,TRUE,)</f>
        <v>-39.04</v>
      </c>
      <c r="J156" s="138">
        <f t="shared" si="158"/>
        <v>-16.1221875</v>
      </c>
      <c r="K156" s="266" t="str">
        <f t="shared" si="3"/>
        <v>Vanguard S&amp;P 500 UCITS</v>
      </c>
      <c r="L156" s="156">
        <f t="shared" si="4"/>
        <v>4293</v>
      </c>
      <c r="M156" s="156">
        <f t="shared" si="5"/>
        <v>-183260.93</v>
      </c>
      <c r="N156" s="155" t="str">
        <f>IF($P156&lt;&gt;"",IF(MAXIFS(Investment!$M:$M,Investment!$H:$H,LEFT($P156,30)&amp;"*"),MAXIFS(Investment!$M:$M,Investment!$H:$H,LEFT($P156,30)&amp;"*"),),)</f>
        <v/>
      </c>
      <c r="O156" s="158" t="str">
        <f>IF($P156&lt;&gt;"",IF(MAXIFS(Investment!$AH:$AH,Investment!$H:$H,LEFT($P156,30)&amp;"*"),MAXIFS(Investment!$AH:$AH,Investment!$H:$H,LEFT($P156,30)&amp;"*"),),)</f>
        <v/>
      </c>
      <c r="P156" s="141"/>
      <c r="Q156" s="145"/>
      <c r="R156" s="138"/>
    </row>
    <row r="157">
      <c r="A157" s="122">
        <v>43497.0</v>
      </c>
      <c r="B157" s="55" t="s">
        <v>343</v>
      </c>
      <c r="C157" s="55" t="s">
        <v>344</v>
      </c>
      <c r="D157" s="55" t="s">
        <v>319</v>
      </c>
      <c r="E157" s="50">
        <v>-8.0</v>
      </c>
      <c r="F157" s="264">
        <v>44.7975</v>
      </c>
      <c r="G157" s="128">
        <v>358.38</v>
      </c>
      <c r="H157" s="130" t="s">
        <v>930</v>
      </c>
      <c r="I157" s="138">
        <f t="shared" ref="I157:J157" si="159">IFS(AND($B157&lt;&gt;"",$E157&lt;&gt;""),IF(INDEX(N:N,MATCH($C157,$P:$P,0),1)&lt;&gt;"",$E157*INDEX(N:N,MATCH($C157,$P:$P,0),1)+$G157,""),AND($B157&lt;&gt;"",$D157="COST",$G157&lt;0),$G157,TRUE,)</f>
        <v>-31.228</v>
      </c>
      <c r="J157" s="138">
        <f t="shared" si="159"/>
        <v>-12.89375</v>
      </c>
      <c r="K157" s="266" t="str">
        <f t="shared" si="3"/>
        <v>Vanguard S&amp;P 500 UCITS</v>
      </c>
      <c r="L157" s="156">
        <f t="shared" si="4"/>
        <v>4293</v>
      </c>
      <c r="M157" s="156">
        <f t="shared" si="5"/>
        <v>-183260.93</v>
      </c>
      <c r="N157" s="155" t="str">
        <f>IF($P157&lt;&gt;"",IF(MAXIFS(Investment!$M:$M,Investment!$H:$H,LEFT($P157,30)&amp;"*"),MAXIFS(Investment!$M:$M,Investment!$H:$H,LEFT($P157,30)&amp;"*"),),)</f>
        <v/>
      </c>
      <c r="O157" s="158" t="str">
        <f>IF($P157&lt;&gt;"",IF(MAXIFS(Investment!$AH:$AH,Investment!$H:$H,LEFT($P157,30)&amp;"*"),MAXIFS(Investment!$AH:$AH,Investment!$H:$H,LEFT($P157,30)&amp;"*"),),)</f>
        <v/>
      </c>
      <c r="P157" s="141"/>
      <c r="Q157" s="145"/>
      <c r="R157" s="138"/>
    </row>
    <row r="158">
      <c r="A158" s="122">
        <v>43497.0</v>
      </c>
      <c r="B158" s="55" t="s">
        <v>343</v>
      </c>
      <c r="C158" s="55" t="s">
        <v>344</v>
      </c>
      <c r="D158" s="55" t="s">
        <v>319</v>
      </c>
      <c r="E158" s="50">
        <v>-5.0</v>
      </c>
      <c r="F158" s="264">
        <v>44.796</v>
      </c>
      <c r="G158" s="128">
        <v>223.98</v>
      </c>
      <c r="H158" s="130" t="s">
        <v>933</v>
      </c>
      <c r="I158" s="138">
        <f t="shared" ref="I158:J158" si="160">IFS(AND($B158&lt;&gt;"",$E158&lt;&gt;""),IF(INDEX(N:N,MATCH($C158,$P:$P,0),1)&lt;&gt;"",$E158*INDEX(N:N,MATCH($C158,$P:$P,0),1)+$G158,""),AND($B158&lt;&gt;"",$D158="COST",$G158&lt;0),$G158,TRUE,)</f>
        <v>-19.525</v>
      </c>
      <c r="J158" s="138">
        <f t="shared" si="160"/>
        <v>-8.06609375</v>
      </c>
      <c r="K158" s="266" t="str">
        <f t="shared" si="3"/>
        <v>Vanguard S&amp;P 500 UCITS</v>
      </c>
      <c r="L158" s="156">
        <f t="shared" si="4"/>
        <v>4293</v>
      </c>
      <c r="M158" s="156">
        <f t="shared" si="5"/>
        <v>-183260.93</v>
      </c>
      <c r="N158" s="155" t="str">
        <f>IF($P158&lt;&gt;"",IF(MAXIFS(Investment!$M:$M,Investment!$H:$H,LEFT($P158,30)&amp;"*"),MAXIFS(Investment!$M:$M,Investment!$H:$H,LEFT($P158,30)&amp;"*"),),)</f>
        <v/>
      </c>
      <c r="O158" s="158" t="str">
        <f>IF($P158&lt;&gt;"",IF(MAXIFS(Investment!$AH:$AH,Investment!$H:$H,LEFT($P158,30)&amp;"*"),MAXIFS(Investment!$AH:$AH,Investment!$H:$H,LEFT($P158,30)&amp;"*"),),)</f>
        <v/>
      </c>
      <c r="P158" s="141"/>
      <c r="Q158" s="145"/>
      <c r="R158" s="138"/>
    </row>
    <row r="159">
      <c r="A159" s="122">
        <v>43496.0</v>
      </c>
      <c r="B159" s="55" t="s">
        <v>343</v>
      </c>
      <c r="C159" s="55" t="s">
        <v>344</v>
      </c>
      <c r="D159" s="55" t="s">
        <v>378</v>
      </c>
      <c r="E159" s="50"/>
      <c r="F159" s="264"/>
      <c r="G159" s="128">
        <v>-3.89</v>
      </c>
      <c r="H159" s="130" t="s">
        <v>934</v>
      </c>
      <c r="I159" s="138">
        <f t="shared" ref="I159:J159" si="161">IFS(AND($B159&lt;&gt;"",$E159&lt;&gt;""),IF(INDEX(N:N,MATCH($C159,$P:$P,0),1)&lt;&gt;"",$E159*INDEX(N:N,MATCH($C159,$P:$P,0),1)+$G159,""),AND($B159&lt;&gt;"",$D159="COST",$G159&lt;0),$G159,TRUE,)</f>
        <v>-3.89</v>
      </c>
      <c r="J159" s="138">
        <f t="shared" si="161"/>
        <v>-3.89</v>
      </c>
      <c r="K159" s="266" t="str">
        <f t="shared" si="3"/>
        <v>Vanguard S&amp;P 500 UCITS</v>
      </c>
      <c r="L159" s="156">
        <f t="shared" si="4"/>
        <v>4293</v>
      </c>
      <c r="M159" s="156">
        <f t="shared" si="5"/>
        <v>-183260.93</v>
      </c>
      <c r="N159" s="155" t="str">
        <f>IF($P159&lt;&gt;"",IF(MAXIFS(Investment!$M:$M,Investment!$H:$H,LEFT($P159,30)&amp;"*"),MAXIFS(Investment!$M:$M,Investment!$H:$H,LEFT($P159,30)&amp;"*"),),)</f>
        <v/>
      </c>
      <c r="O159" s="158" t="str">
        <f>IF($P159&lt;&gt;"",IF(MAXIFS(Investment!$AH:$AH,Investment!$H:$H,LEFT($P159,30)&amp;"*"),MAXIFS(Investment!$AH:$AH,Investment!$H:$H,LEFT($P159,30)&amp;"*"),),)</f>
        <v/>
      </c>
      <c r="P159" s="141"/>
      <c r="Q159" s="145"/>
      <c r="R159" s="138"/>
    </row>
    <row r="160">
      <c r="A160" s="122">
        <v>43496.0</v>
      </c>
      <c r="B160" s="55" t="s">
        <v>343</v>
      </c>
      <c r="C160" s="55" t="s">
        <v>344</v>
      </c>
      <c r="D160" s="55" t="s">
        <v>319</v>
      </c>
      <c r="E160" s="50">
        <v>-213.0</v>
      </c>
      <c r="F160" s="264">
        <v>44.455</v>
      </c>
      <c r="G160" s="128">
        <v>9468.92</v>
      </c>
      <c r="H160" s="130" t="s">
        <v>938</v>
      </c>
      <c r="I160" s="138">
        <f t="shared" ref="I160:J160" si="162">IFS(AND($B160&lt;&gt;"",$E160&lt;&gt;""),IF(INDEX(N:N,MATCH($C160,$P:$P,0),1)&lt;&gt;"",$E160*INDEX(N:N,MATCH($C160,$P:$P,0),1)+$G160,""),AND($B160&lt;&gt;"",$D160="COST",$G160&lt;0),$G160,TRUE,)</f>
        <v>-904.393</v>
      </c>
      <c r="J160" s="138">
        <f t="shared" si="162"/>
        <v>-416.2435938</v>
      </c>
      <c r="K160" s="266" t="str">
        <f t="shared" si="3"/>
        <v>Vanguard S&amp;P 500 UCITS</v>
      </c>
      <c r="L160" s="156">
        <f t="shared" si="4"/>
        <v>4293</v>
      </c>
      <c r="M160" s="156">
        <f t="shared" si="5"/>
        <v>-183260.93</v>
      </c>
      <c r="N160" s="155" t="str">
        <f>IF($P160&lt;&gt;"",IF(MAXIFS(Investment!$M:$M,Investment!$H:$H,LEFT($P160,30)&amp;"*"),MAXIFS(Investment!$M:$M,Investment!$H:$H,LEFT($P160,30)&amp;"*"),),)</f>
        <v/>
      </c>
      <c r="O160" s="158" t="str">
        <f>IF($P160&lt;&gt;"",IF(MAXIFS(Investment!$AH:$AH,Investment!$H:$H,LEFT($P160,30)&amp;"*"),MAXIFS(Investment!$AH:$AH,Investment!$H:$H,LEFT($P160,30)&amp;"*"),),)</f>
        <v/>
      </c>
      <c r="P160" s="141"/>
      <c r="Q160" s="145"/>
      <c r="R160" s="138"/>
    </row>
    <row r="161">
      <c r="A161" s="122">
        <v>43486.0</v>
      </c>
      <c r="B161" s="55" t="s">
        <v>343</v>
      </c>
      <c r="C161" s="55" t="s">
        <v>344</v>
      </c>
      <c r="D161" s="55" t="s">
        <v>378</v>
      </c>
      <c r="E161" s="50"/>
      <c r="F161" s="264"/>
      <c r="G161" s="128">
        <v>-0.26</v>
      </c>
      <c r="H161" s="130" t="s">
        <v>939</v>
      </c>
      <c r="I161" s="138">
        <f t="shared" ref="I161:J161" si="163">IFS(AND($B161&lt;&gt;"",$E161&lt;&gt;""),IF(INDEX(N:N,MATCH($C161,$P:$P,0),1)&lt;&gt;"",$E161*INDEX(N:N,MATCH($C161,$P:$P,0),1)+$G161,""),AND($B161&lt;&gt;"",$D161="COST",$G161&lt;0),$G161,TRUE,)</f>
        <v>-0.26</v>
      </c>
      <c r="J161" s="138">
        <f t="shared" si="163"/>
        <v>-0.26</v>
      </c>
      <c r="K161" s="266" t="str">
        <f t="shared" si="3"/>
        <v>Vanguard S&amp;P 500 UCITS</v>
      </c>
      <c r="L161" s="156">
        <f t="shared" si="4"/>
        <v>4293</v>
      </c>
      <c r="M161" s="156">
        <f t="shared" si="5"/>
        <v>-183260.93</v>
      </c>
      <c r="N161" s="155" t="str">
        <f>IF($P161&lt;&gt;"",IF(MAXIFS(Investment!$M:$M,Investment!$H:$H,LEFT($P161,30)&amp;"*"),MAXIFS(Investment!$M:$M,Investment!$H:$H,LEFT($P161,30)&amp;"*"),),)</f>
        <v/>
      </c>
      <c r="O161" s="158" t="str">
        <f>IF($P161&lt;&gt;"",IF(MAXIFS(Investment!$AH:$AH,Investment!$H:$H,LEFT($P161,30)&amp;"*"),MAXIFS(Investment!$AH:$AH,Investment!$H:$H,LEFT($P161,30)&amp;"*"),),)</f>
        <v/>
      </c>
      <c r="P161" s="141"/>
      <c r="Q161" s="145"/>
      <c r="R161" s="138"/>
    </row>
    <row r="162">
      <c r="A162" s="122">
        <v>43486.0</v>
      </c>
      <c r="B162" s="55" t="s">
        <v>343</v>
      </c>
      <c r="C162" s="55" t="s">
        <v>344</v>
      </c>
      <c r="D162" s="55" t="s">
        <v>319</v>
      </c>
      <c r="E162" s="50">
        <v>-29.0</v>
      </c>
      <c r="F162" s="296">
        <f t="shared" ref="F162:F184" si="165">IF(E162,-G162/E162,"")</f>
        <v>44.48586207</v>
      </c>
      <c r="G162" s="128">
        <v>1290.09</v>
      </c>
      <c r="H162" s="130" t="s">
        <v>941</v>
      </c>
      <c r="I162" s="138">
        <f t="shared" ref="I162:J162" si="164">IFS(AND($B162&lt;&gt;"",$E162&lt;&gt;""),IF(INDEX(N:N,MATCH($C162,$P:$P,0),1)&lt;&gt;"",$E162*INDEX(N:N,MATCH($C162,$P:$P,0),1)+$G162,""),AND($B162&lt;&gt;"",$D162="COST",$G162&lt;0),$G162,TRUE,)</f>
        <v>-122.239</v>
      </c>
      <c r="J162" s="138">
        <f t="shared" si="164"/>
        <v>-55.77734375</v>
      </c>
      <c r="K162" s="266" t="str">
        <f t="shared" si="3"/>
        <v>Vanguard S&amp;P 500 UCITS</v>
      </c>
      <c r="L162" s="156">
        <f t="shared" si="4"/>
        <v>4293</v>
      </c>
      <c r="M162" s="156">
        <f t="shared" si="5"/>
        <v>-183260.93</v>
      </c>
      <c r="N162" s="155" t="str">
        <f>IF($P162&lt;&gt;"",IF(MAXIFS(Investment!$M:$M,Investment!$H:$H,LEFT($P162,30)&amp;"*"),MAXIFS(Investment!$M:$M,Investment!$H:$H,LEFT($P162,30)&amp;"*"),),)</f>
        <v/>
      </c>
      <c r="O162" s="158" t="str">
        <f>IF($P162&lt;&gt;"",IF(MAXIFS(Investment!$AH:$AH,Investment!$H:$H,LEFT($P162,30)&amp;"*"),MAXIFS(Investment!$AH:$AH,Investment!$H:$H,LEFT($P162,30)&amp;"*"),),)</f>
        <v/>
      </c>
      <c r="P162" s="141"/>
      <c r="Q162" s="145"/>
      <c r="R162" s="138"/>
    </row>
    <row r="163">
      <c r="A163" s="122">
        <v>43486.0</v>
      </c>
      <c r="B163" s="55" t="s">
        <v>343</v>
      </c>
      <c r="C163" s="55" t="s">
        <v>344</v>
      </c>
      <c r="D163" s="55" t="s">
        <v>378</v>
      </c>
      <c r="E163" s="50"/>
      <c r="F163" s="296" t="str">
        <f t="shared" si="165"/>
        <v/>
      </c>
      <c r="G163" s="128">
        <v>-2.01</v>
      </c>
      <c r="H163" s="130" t="s">
        <v>944</v>
      </c>
      <c r="I163" s="138">
        <f t="shared" ref="I163:J163" si="166">IFS(AND($B163&lt;&gt;"",$E163&lt;&gt;""),IF(INDEX(N:N,MATCH($C163,$P:$P,0),1)&lt;&gt;"",$E163*INDEX(N:N,MATCH($C163,$P:$P,0),1)+$G163,""),AND($B163&lt;&gt;"",$D163="COST",$G163&lt;0),$G163,TRUE,)</f>
        <v>-2.01</v>
      </c>
      <c r="J163" s="138">
        <f t="shared" si="166"/>
        <v>-2.01</v>
      </c>
      <c r="K163" s="266" t="str">
        <f t="shared" si="3"/>
        <v>Vanguard S&amp;P 500 UCITS</v>
      </c>
      <c r="L163" s="156">
        <f t="shared" si="4"/>
        <v>4293</v>
      </c>
      <c r="M163" s="156">
        <f t="shared" si="5"/>
        <v>-183260.93</v>
      </c>
      <c r="N163" s="155" t="str">
        <f>IF($P163&lt;&gt;"",IF(MAXIFS(Investment!$M:$M,Investment!$H:$H,LEFT($P163,30)&amp;"*"),MAXIFS(Investment!$M:$M,Investment!$H:$H,LEFT($P163,30)&amp;"*"),),)</f>
        <v/>
      </c>
      <c r="O163" s="158" t="str">
        <f>IF($P163&lt;&gt;"",IF(MAXIFS(Investment!$AH:$AH,Investment!$H:$H,LEFT($P163,30)&amp;"*"),MAXIFS(Investment!$AH:$AH,Investment!$H:$H,LEFT($P163,30)&amp;"*"),),)</f>
        <v/>
      </c>
      <c r="P163" s="141"/>
      <c r="Q163" s="145"/>
      <c r="R163" s="138"/>
    </row>
    <row r="164">
      <c r="A164" s="122">
        <v>43486.0</v>
      </c>
      <c r="B164" s="55" t="s">
        <v>343</v>
      </c>
      <c r="C164" s="55" t="s">
        <v>344</v>
      </c>
      <c r="D164" s="55" t="s">
        <v>319</v>
      </c>
      <c r="E164" s="50">
        <v>-1.0</v>
      </c>
      <c r="F164" s="296">
        <f t="shared" si="165"/>
        <v>44.5</v>
      </c>
      <c r="G164" s="128">
        <v>44.5</v>
      </c>
      <c r="H164" s="130" t="s">
        <v>948</v>
      </c>
      <c r="I164" s="138">
        <f t="shared" ref="I164:J164" si="167">IFS(AND($B164&lt;&gt;"",$E164&lt;&gt;""),IF(INDEX(N:N,MATCH($C164,$P:$P,0),1)&lt;&gt;"",$E164*INDEX(N:N,MATCH($C164,$P:$P,0),1)+$G164,""),AND($B164&lt;&gt;"",$D164="COST",$G164&lt;0),$G164,TRUE,)</f>
        <v>-4.201</v>
      </c>
      <c r="J164" s="138">
        <f t="shared" si="167"/>
        <v>-1.90921875</v>
      </c>
      <c r="K164" s="266" t="str">
        <f t="shared" si="3"/>
        <v>Vanguard S&amp;P 500 UCITS</v>
      </c>
      <c r="L164" s="156">
        <f t="shared" si="4"/>
        <v>4293</v>
      </c>
      <c r="M164" s="156">
        <f t="shared" si="5"/>
        <v>-183260.93</v>
      </c>
      <c r="N164" s="155" t="str">
        <f>IF($P164&lt;&gt;"",IF(MAXIFS(Investment!$M:$M,Investment!$H:$H,LEFT($P164,30)&amp;"*"),MAXIFS(Investment!$M:$M,Investment!$H:$H,LEFT($P164,30)&amp;"*"),),)</f>
        <v/>
      </c>
      <c r="O164" s="158" t="str">
        <f>IF($P164&lt;&gt;"",IF(MAXIFS(Investment!$AH:$AH,Investment!$H:$H,LEFT($P164,30)&amp;"*"),MAXIFS(Investment!$AH:$AH,Investment!$H:$H,LEFT($P164,30)&amp;"*"),),)</f>
        <v/>
      </c>
      <c r="P164" s="141"/>
      <c r="Q164" s="145"/>
      <c r="R164" s="138"/>
    </row>
    <row r="165">
      <c r="A165" s="122">
        <v>43475.0</v>
      </c>
      <c r="B165" s="55" t="s">
        <v>343</v>
      </c>
      <c r="C165" s="55" t="s">
        <v>344</v>
      </c>
      <c r="D165" s="55" t="s">
        <v>272</v>
      </c>
      <c r="E165" s="50"/>
      <c r="F165" s="296" t="str">
        <f t="shared" si="165"/>
        <v/>
      </c>
      <c r="G165" s="128">
        <v>-154.79</v>
      </c>
      <c r="H165" s="130" t="s">
        <v>949</v>
      </c>
      <c r="I165" s="138" t="str">
        <f t="shared" ref="I165:J165" si="168">IFS(AND($B165&lt;&gt;"",$E165&lt;&gt;""),IF(INDEX(N:N,MATCH($C165,$P:$P,0),1)&lt;&gt;"",$E165*INDEX(N:N,MATCH($C165,$P:$P,0),1)+$G165,""),AND($B165&lt;&gt;"",$D165="COST",$G165&lt;0),$G165,TRUE,)</f>
        <v/>
      </c>
      <c r="J165" s="138" t="str">
        <f t="shared" si="168"/>
        <v/>
      </c>
      <c r="K165" s="266" t="str">
        <f t="shared" si="3"/>
        <v>Vanguard S&amp;P 500 UCITS</v>
      </c>
      <c r="L165" s="156">
        <f t="shared" si="4"/>
        <v>4293</v>
      </c>
      <c r="M165" s="156">
        <f t="shared" si="5"/>
        <v>-183260.93</v>
      </c>
      <c r="N165" s="155" t="str">
        <f>IF($P165&lt;&gt;"",IF(MAXIFS(Investment!$M:$M,Investment!$H:$H,LEFT($P165,30)&amp;"*"),MAXIFS(Investment!$M:$M,Investment!$H:$H,LEFT($P165,30)&amp;"*"),),)</f>
        <v/>
      </c>
      <c r="O165" s="158" t="str">
        <f>IF($P165&lt;&gt;"",IF(MAXIFS(Investment!$AH:$AH,Investment!$H:$H,LEFT($P165,30)&amp;"*"),MAXIFS(Investment!$AH:$AH,Investment!$H:$H,LEFT($P165,30)&amp;"*"),),)</f>
        <v/>
      </c>
      <c r="P165" s="141"/>
      <c r="Q165" s="145"/>
      <c r="R165" s="138"/>
    </row>
    <row r="166">
      <c r="A166" s="122">
        <v>43474.0</v>
      </c>
      <c r="B166" s="55" t="s">
        <v>343</v>
      </c>
      <c r="C166" s="55" t="s">
        <v>344</v>
      </c>
      <c r="D166" s="55" t="s">
        <v>272</v>
      </c>
      <c r="E166" s="50"/>
      <c r="F166" s="296" t="str">
        <f t="shared" si="165"/>
        <v/>
      </c>
      <c r="G166" s="128">
        <v>1151.07</v>
      </c>
      <c r="H166" s="130" t="s">
        <v>955</v>
      </c>
      <c r="I166" s="138" t="str">
        <f t="shared" ref="I166:J166" si="169">IFS(AND($B166&lt;&gt;"",$E166&lt;&gt;""),IF(INDEX(N:N,MATCH($C166,$P:$P,0),1)&lt;&gt;"",$E166*INDEX(N:N,MATCH($C166,$P:$P,0),1)+$G166,""),AND($B166&lt;&gt;"",$D166="COST",$G166&lt;0),$G166,TRUE,)</f>
        <v/>
      </c>
      <c r="J166" s="138" t="str">
        <f t="shared" si="169"/>
        <v/>
      </c>
      <c r="K166" s="266" t="str">
        <f t="shared" si="3"/>
        <v>Vanguard S&amp;P 500 UCITS</v>
      </c>
      <c r="L166" s="156">
        <f t="shared" si="4"/>
        <v>4293</v>
      </c>
      <c r="M166" s="156">
        <f t="shared" si="5"/>
        <v>-183260.93</v>
      </c>
      <c r="N166" s="155" t="str">
        <f>IF($P166&lt;&gt;"",IF(MAXIFS(Investment!$M:$M,Investment!$H:$H,LEFT($P166,30)&amp;"*"),MAXIFS(Investment!$M:$M,Investment!$H:$H,LEFT($P166,30)&amp;"*"),),)</f>
        <v/>
      </c>
      <c r="O166" s="158" t="str">
        <f>IF($P166&lt;&gt;"",IF(MAXIFS(Investment!$AH:$AH,Investment!$H:$H,LEFT($P166,30)&amp;"*"),MAXIFS(Investment!$AH:$AH,Investment!$H:$H,LEFT($P166,30)&amp;"*"),),)</f>
        <v/>
      </c>
      <c r="P166" s="141"/>
      <c r="Q166" s="145"/>
      <c r="R166" s="138"/>
    </row>
    <row r="167">
      <c r="A167" s="122">
        <v>43474.0</v>
      </c>
      <c r="B167" s="55" t="s">
        <v>343</v>
      </c>
      <c r="C167" s="55" t="s">
        <v>344</v>
      </c>
      <c r="D167" s="55" t="s">
        <v>378</v>
      </c>
      <c r="E167" s="50"/>
      <c r="F167" s="296" t="str">
        <f t="shared" si="165"/>
        <v/>
      </c>
      <c r="G167" s="128">
        <v>-2.29</v>
      </c>
      <c r="H167" s="130" t="s">
        <v>958</v>
      </c>
      <c r="I167" s="138">
        <f t="shared" ref="I167:J167" si="170">IFS(AND($B167&lt;&gt;"",$E167&lt;&gt;""),IF(INDEX(N:N,MATCH($C167,$P:$P,0),1)&lt;&gt;"",$E167*INDEX(N:N,MATCH($C167,$P:$P,0),1)+$G167,""),AND($B167&lt;&gt;"",$D167="COST",$G167&lt;0),$G167,TRUE,)</f>
        <v>-2.29</v>
      </c>
      <c r="J167" s="138">
        <f t="shared" si="170"/>
        <v>-2.29</v>
      </c>
      <c r="K167" s="266" t="str">
        <f t="shared" si="3"/>
        <v>Vanguard S&amp;P 500 UCITS</v>
      </c>
      <c r="L167" s="156">
        <f t="shared" si="4"/>
        <v>4293</v>
      </c>
      <c r="M167" s="156">
        <f t="shared" si="5"/>
        <v>-183260.93</v>
      </c>
      <c r="N167" s="155" t="str">
        <f>IF($P167&lt;&gt;"",IF(MAXIFS(Investment!$M:$M,Investment!$H:$H,LEFT($P167,30)&amp;"*"),MAXIFS(Investment!$M:$M,Investment!$H:$H,LEFT($P167,30)&amp;"*"),),)</f>
        <v/>
      </c>
      <c r="O167" s="158" t="str">
        <f>IF($P167&lt;&gt;"",IF(MAXIFS(Investment!$AH:$AH,Investment!$H:$H,LEFT($P167,30)&amp;"*"),MAXIFS(Investment!$AH:$AH,Investment!$H:$H,LEFT($P167,30)&amp;"*"),),)</f>
        <v/>
      </c>
      <c r="P167" s="141"/>
      <c r="Q167" s="145"/>
      <c r="R167" s="138"/>
    </row>
    <row r="168">
      <c r="A168" s="122">
        <v>43474.0</v>
      </c>
      <c r="B168" s="55" t="s">
        <v>343</v>
      </c>
      <c r="C168" s="55" t="s">
        <v>344</v>
      </c>
      <c r="D168" s="55" t="s">
        <v>319</v>
      </c>
      <c r="E168" s="50">
        <v>-34.0</v>
      </c>
      <c r="F168" s="296">
        <f t="shared" si="165"/>
        <v>42.74</v>
      </c>
      <c r="G168" s="128">
        <v>1453.16</v>
      </c>
      <c r="H168" s="130" t="s">
        <v>961</v>
      </c>
      <c r="I168" s="138">
        <f t="shared" ref="I168:J168" si="171">IFS(AND($B168&lt;&gt;"",$E168&lt;&gt;""),IF(INDEX(N:N,MATCH($C168,$P:$P,0),1)&lt;&gt;"",$E168*INDEX(N:N,MATCH($C168,$P:$P,0),1)+$G168,""),AND($B168&lt;&gt;"",$D168="COST",$G168&lt;0),$G168,TRUE,)</f>
        <v>-202.674</v>
      </c>
      <c r="J168" s="138">
        <f t="shared" si="171"/>
        <v>-124.7534375</v>
      </c>
      <c r="K168" s="266" t="str">
        <f t="shared" si="3"/>
        <v>Vanguard S&amp;P 500 UCITS</v>
      </c>
      <c r="L168" s="156">
        <f t="shared" si="4"/>
        <v>4293</v>
      </c>
      <c r="M168" s="156">
        <f t="shared" si="5"/>
        <v>-183260.93</v>
      </c>
      <c r="N168" s="155" t="str">
        <f>IF($P168&lt;&gt;"",IF(MAXIFS(Investment!$M:$M,Investment!$H:$H,LEFT($P168,30)&amp;"*"),MAXIFS(Investment!$M:$M,Investment!$H:$H,LEFT($P168,30)&amp;"*"),),)</f>
        <v/>
      </c>
      <c r="O168" s="158" t="str">
        <f>IF($P168&lt;&gt;"",IF(MAXIFS(Investment!$AH:$AH,Investment!$H:$H,LEFT($P168,30)&amp;"*"),MAXIFS(Investment!$AH:$AH,Investment!$H:$H,LEFT($P168,30)&amp;"*"),),)</f>
        <v/>
      </c>
      <c r="P168" s="141"/>
      <c r="Q168" s="145"/>
      <c r="R168" s="138"/>
    </row>
    <row r="169">
      <c r="A169" s="122">
        <v>43473.0</v>
      </c>
      <c r="B169" s="55" t="s">
        <v>268</v>
      </c>
      <c r="C169" s="55" t="s">
        <v>673</v>
      </c>
      <c r="D169" s="55" t="s">
        <v>378</v>
      </c>
      <c r="E169" s="50"/>
      <c r="F169" s="296" t="str">
        <f t="shared" si="165"/>
        <v/>
      </c>
      <c r="G169" s="128">
        <v>-2.53</v>
      </c>
      <c r="H169" s="130" t="s">
        <v>966</v>
      </c>
      <c r="I169" s="138">
        <f t="shared" ref="I169:J169" si="172">IFS(AND($B169&lt;&gt;"",$E169&lt;&gt;""),IF(INDEX(N:N,MATCH($C169,$P:$P,0),1)&lt;&gt;"",$E169*INDEX(N:N,MATCH($C169,$P:$P,0),1)+$G169,""),AND($B169&lt;&gt;"",$D169="COST",$G169&lt;0),$G169,TRUE,)</f>
        <v>-2.53</v>
      </c>
      <c r="J169" s="138">
        <f t="shared" si="172"/>
        <v>-2.53</v>
      </c>
      <c r="K169" s="266" t="str">
        <f t="shared" si="3"/>
        <v>iShares Treasury Bond 20+ UCITS USD Dist</v>
      </c>
      <c r="L169" s="156">
        <f t="shared" si="4"/>
        <v>0</v>
      </c>
      <c r="M169" s="156">
        <f t="shared" si="5"/>
        <v>27424.23</v>
      </c>
      <c r="N169" s="155" t="str">
        <f>IF($P169&lt;&gt;"",IF(MAXIFS(Investment!$M:$M,Investment!$H:$H,LEFT($P169,30)&amp;"*"),MAXIFS(Investment!$M:$M,Investment!$H:$H,LEFT($P169,30)&amp;"*"),),)</f>
        <v/>
      </c>
      <c r="O169" s="158" t="str">
        <f>IF($P169&lt;&gt;"",IF(MAXIFS(Investment!$AH:$AH,Investment!$H:$H,LEFT($P169,30)&amp;"*"),MAXIFS(Investment!$AH:$AH,Investment!$H:$H,LEFT($P169,30)&amp;"*"),),)</f>
        <v/>
      </c>
      <c r="P169" s="141"/>
      <c r="Q169" s="145"/>
      <c r="R169" s="138"/>
    </row>
    <row r="170">
      <c r="A170" s="122">
        <v>43473.0</v>
      </c>
      <c r="B170" s="55" t="s">
        <v>268</v>
      </c>
      <c r="C170" s="55" t="s">
        <v>673</v>
      </c>
      <c r="D170" s="55" t="s">
        <v>330</v>
      </c>
      <c r="E170" s="50">
        <v>666.0</v>
      </c>
      <c r="F170" s="296">
        <f t="shared" si="165"/>
        <v>3.982507508</v>
      </c>
      <c r="G170" s="128">
        <v>-2652.35</v>
      </c>
      <c r="H170" s="130" t="s">
        <v>969</v>
      </c>
      <c r="I170" s="138">
        <f t="shared" ref="I170:J170" si="173">IFS(AND($B170&lt;&gt;"",$E170&lt;&gt;""),IF(INDEX(N:N,MATCH($C170,$P:$P,0),1)&lt;&gt;"",$E170*INDEX(N:N,MATCH($C170,$P:$P,0),1)+$G170,""),AND($B170&lt;&gt;"",$D170="COST",$G170&lt;0),$G170,TRUE,)</f>
        <v>242.086</v>
      </c>
      <c r="J170" s="138">
        <f t="shared" si="173"/>
        <v>-0.07537226563</v>
      </c>
      <c r="K170" s="266" t="str">
        <f t="shared" si="3"/>
        <v>iShares Treasury Bond 20+ UCITS USD Dist</v>
      </c>
      <c r="L170" s="156">
        <f t="shared" si="4"/>
        <v>0</v>
      </c>
      <c r="M170" s="156">
        <f t="shared" si="5"/>
        <v>27424.23</v>
      </c>
      <c r="N170" s="155" t="str">
        <f>IF($P170&lt;&gt;"",IF(MAXIFS(Investment!$M:$M,Investment!$H:$H,LEFT($P170,30)&amp;"*"),MAXIFS(Investment!$M:$M,Investment!$H:$H,LEFT($P170,30)&amp;"*"),),)</f>
        <v/>
      </c>
      <c r="O170" s="158" t="str">
        <f>IF($P170&lt;&gt;"",IF(MAXIFS(Investment!$AH:$AH,Investment!$H:$H,LEFT($P170,30)&amp;"*"),MAXIFS(Investment!$AH:$AH,Investment!$H:$H,LEFT($P170,30)&amp;"*"),),)</f>
        <v/>
      </c>
      <c r="P170" s="141"/>
      <c r="Q170" s="145"/>
      <c r="R170" s="138"/>
    </row>
    <row r="171">
      <c r="A171" s="122">
        <v>43473.0</v>
      </c>
      <c r="B171" s="55" t="s">
        <v>364</v>
      </c>
      <c r="C171" s="55" t="s">
        <v>366</v>
      </c>
      <c r="D171" s="55" t="s">
        <v>330</v>
      </c>
      <c r="E171" s="50">
        <v>14.0</v>
      </c>
      <c r="F171" s="296">
        <f t="shared" si="165"/>
        <v>167.51</v>
      </c>
      <c r="G171" s="128">
        <v>-2345.14</v>
      </c>
      <c r="H171" s="130" t="s">
        <v>970</v>
      </c>
      <c r="I171" s="138">
        <f t="shared" ref="I171:J171" si="174">IFS(AND($B171&lt;&gt;"",$E171&lt;&gt;""),IF(INDEX(N:N,MATCH($C171,$P:$P,0),1)&lt;&gt;"",$E171*INDEX(N:N,MATCH($C171,$P:$P,0),1)+$G171,""),AND($B171&lt;&gt;"",$D171="COST",$G171&lt;0),$G171,TRUE,)</f>
        <v>139.86</v>
      </c>
      <c r="J171" s="138">
        <f t="shared" si="174"/>
        <v>3.570546875</v>
      </c>
      <c r="K171" s="266" t="str">
        <f t="shared" si="3"/>
        <v>iShares Treasury Bond 7-10 UCITS</v>
      </c>
      <c r="L171" s="156">
        <f t="shared" si="4"/>
        <v>597</v>
      </c>
      <c r="M171" s="156">
        <f t="shared" si="5"/>
        <v>-91106.6</v>
      </c>
      <c r="N171" s="155" t="str">
        <f>IF($P171&lt;&gt;"",IF(MAXIFS(Investment!$M:$M,Investment!$H:$H,LEFT($P171,30)&amp;"*"),MAXIFS(Investment!$M:$M,Investment!$H:$H,LEFT($P171,30)&amp;"*"),),)</f>
        <v/>
      </c>
      <c r="O171" s="158" t="str">
        <f>IF($P171&lt;&gt;"",IF(MAXIFS(Investment!$AH:$AH,Investment!$H:$H,LEFT($P171,30)&amp;"*"),MAXIFS(Investment!$AH:$AH,Investment!$H:$H,LEFT($P171,30)&amp;"*"),),)</f>
        <v/>
      </c>
      <c r="P171" s="141"/>
      <c r="Q171" s="145"/>
      <c r="R171" s="138"/>
    </row>
    <row r="172">
      <c r="A172" s="122">
        <v>43473.0</v>
      </c>
      <c r="B172" s="55" t="s">
        <v>364</v>
      </c>
      <c r="C172" s="55" t="s">
        <v>366</v>
      </c>
      <c r="D172" s="55" t="s">
        <v>378</v>
      </c>
      <c r="E172" s="50"/>
      <c r="F172" s="296" t="str">
        <f t="shared" si="165"/>
        <v/>
      </c>
      <c r="G172" s="128">
        <v>-2.47</v>
      </c>
      <c r="H172" s="130" t="s">
        <v>977</v>
      </c>
      <c r="I172" s="138">
        <f t="shared" ref="I172:J172" si="175">IFS(AND($B172&lt;&gt;"",$E172&lt;&gt;""),IF(INDEX(N:N,MATCH($C172,$P:$P,0),1)&lt;&gt;"",$E172*INDEX(N:N,MATCH($C172,$P:$P,0),1)+$G172,""),AND($B172&lt;&gt;"",$D172="COST",$G172&lt;0),$G172,TRUE,)</f>
        <v>-2.47</v>
      </c>
      <c r="J172" s="138">
        <f t="shared" si="175"/>
        <v>-2.47</v>
      </c>
      <c r="K172" s="266" t="str">
        <f t="shared" si="3"/>
        <v>iShares Treasury Bond 7-10 UCITS</v>
      </c>
      <c r="L172" s="156">
        <f t="shared" si="4"/>
        <v>597</v>
      </c>
      <c r="M172" s="156">
        <f t="shared" si="5"/>
        <v>-91106.6</v>
      </c>
      <c r="N172" s="155" t="str">
        <f>IF($P172&lt;&gt;"",IF(MAXIFS(Investment!$M:$M,Investment!$H:$H,LEFT($P172,30)&amp;"*"),MAXIFS(Investment!$M:$M,Investment!$H:$H,LEFT($P172,30)&amp;"*"),),)</f>
        <v/>
      </c>
      <c r="O172" s="158" t="str">
        <f>IF($P172&lt;&gt;"",IF(MAXIFS(Investment!$AH:$AH,Investment!$H:$H,LEFT($P172,30)&amp;"*"),MAXIFS(Investment!$AH:$AH,Investment!$H:$H,LEFT($P172,30)&amp;"*"),),)</f>
        <v/>
      </c>
      <c r="P172" s="141"/>
      <c r="Q172" s="145"/>
      <c r="R172" s="138"/>
    </row>
    <row r="173">
      <c r="A173" s="122">
        <v>43473.0</v>
      </c>
      <c r="B173" s="55" t="s">
        <v>364</v>
      </c>
      <c r="C173" s="55" t="s">
        <v>366</v>
      </c>
      <c r="D173" s="55" t="s">
        <v>330</v>
      </c>
      <c r="E173" s="50">
        <v>14.0</v>
      </c>
      <c r="F173" s="296">
        <f t="shared" si="165"/>
        <v>167.59</v>
      </c>
      <c r="G173" s="128">
        <v>-2346.26</v>
      </c>
      <c r="H173" s="130" t="s">
        <v>978</v>
      </c>
      <c r="I173" s="138">
        <f t="shared" ref="I173:J173" si="176">IFS(AND($B173&lt;&gt;"",$E173&lt;&gt;""),IF(INDEX(N:N,MATCH($C173,$P:$P,0),1)&lt;&gt;"",$E173*INDEX(N:N,MATCH($C173,$P:$P,0),1)+$G173,""),AND($B173&lt;&gt;"",$D173="COST",$G173&lt;0),$G173,TRUE,)</f>
        <v>138.74</v>
      </c>
      <c r="J173" s="138">
        <f t="shared" si="176"/>
        <v>2.450546875</v>
      </c>
      <c r="K173" s="266" t="str">
        <f t="shared" si="3"/>
        <v>iShares Treasury Bond 7-10 UCITS</v>
      </c>
      <c r="L173" s="156">
        <f t="shared" si="4"/>
        <v>597</v>
      </c>
      <c r="M173" s="156">
        <f t="shared" si="5"/>
        <v>-91106.6</v>
      </c>
      <c r="N173" s="155" t="str">
        <f>IF($P173&lt;&gt;"",IF(MAXIFS(Investment!$M:$M,Investment!$H:$H,LEFT($P173,30)&amp;"*"),MAXIFS(Investment!$M:$M,Investment!$H:$H,LEFT($P173,30)&amp;"*"),),)</f>
        <v/>
      </c>
      <c r="O173" s="158" t="str">
        <f>IF($P173&lt;&gt;"",IF(MAXIFS(Investment!$AH:$AH,Investment!$H:$H,LEFT($P173,30)&amp;"*"),MAXIFS(Investment!$AH:$AH,Investment!$H:$H,LEFT($P173,30)&amp;"*"),),)</f>
        <v/>
      </c>
      <c r="P173" s="141"/>
      <c r="Q173" s="145"/>
      <c r="R173" s="138"/>
    </row>
    <row r="174">
      <c r="A174" s="122">
        <v>43473.0</v>
      </c>
      <c r="B174" s="55" t="s">
        <v>364</v>
      </c>
      <c r="C174" s="55" t="s">
        <v>366</v>
      </c>
      <c r="D174" s="55" t="s">
        <v>319</v>
      </c>
      <c r="E174" s="50">
        <v>-7.0</v>
      </c>
      <c r="F174" s="296">
        <f t="shared" si="165"/>
        <v>167.39</v>
      </c>
      <c r="G174" s="128">
        <v>1171.73</v>
      </c>
      <c r="H174" s="130" t="s">
        <v>984</v>
      </c>
      <c r="I174" s="138">
        <f t="shared" ref="I174:J174" si="177">IFS(AND($B174&lt;&gt;"",$E174&lt;&gt;""),IF(INDEX(N:N,MATCH($C174,$P:$P,0),1)&lt;&gt;"",$E174*INDEX(N:N,MATCH($C174,$P:$P,0),1)+$G174,""),AND($B174&lt;&gt;"",$D174="COST",$G174&lt;0),$G174,TRUE,)</f>
        <v>-70.77</v>
      </c>
      <c r="J174" s="138">
        <f t="shared" si="177"/>
        <v>-2.625273437</v>
      </c>
      <c r="K174" s="266" t="str">
        <f t="shared" si="3"/>
        <v>iShares Treasury Bond 7-10 UCITS</v>
      </c>
      <c r="L174" s="156">
        <f t="shared" si="4"/>
        <v>597</v>
      </c>
      <c r="M174" s="156">
        <f t="shared" si="5"/>
        <v>-91106.6</v>
      </c>
      <c r="N174" s="155" t="str">
        <f>IF($P174&lt;&gt;"",IF(MAXIFS(Investment!$M:$M,Investment!$H:$H,LEFT($P174,30)&amp;"*"),MAXIFS(Investment!$M:$M,Investment!$H:$H,LEFT($P174,30)&amp;"*"),),)</f>
        <v/>
      </c>
      <c r="O174" s="158" t="str">
        <f>IF($P174&lt;&gt;"",IF(MAXIFS(Investment!$AH:$AH,Investment!$H:$H,LEFT($P174,30)&amp;"*"),MAXIFS(Investment!$AH:$AH,Investment!$H:$H,LEFT($P174,30)&amp;"*"),),)</f>
        <v/>
      </c>
      <c r="P174" s="141"/>
      <c r="Q174" s="145"/>
      <c r="R174" s="138"/>
    </row>
    <row r="175">
      <c r="A175" s="122">
        <v>43473.0</v>
      </c>
      <c r="B175" s="55" t="s">
        <v>364</v>
      </c>
      <c r="C175" s="55" t="s">
        <v>366</v>
      </c>
      <c r="D175" s="55" t="s">
        <v>378</v>
      </c>
      <c r="E175" s="50"/>
      <c r="F175" s="296" t="str">
        <f t="shared" si="165"/>
        <v/>
      </c>
      <c r="G175" s="128">
        <v>-2.23</v>
      </c>
      <c r="H175" s="130" t="s">
        <v>991</v>
      </c>
      <c r="I175" s="138">
        <f t="shared" ref="I175:J175" si="178">IFS(AND($B175&lt;&gt;"",$E175&lt;&gt;""),IF(INDEX(N:N,MATCH($C175,$P:$P,0),1)&lt;&gt;"",$E175*INDEX(N:N,MATCH($C175,$P:$P,0),1)+$G175,""),AND($B175&lt;&gt;"",$D175="COST",$G175&lt;0),$G175,TRUE,)</f>
        <v>-2.23</v>
      </c>
      <c r="J175" s="138">
        <f t="shared" si="178"/>
        <v>-2.23</v>
      </c>
      <c r="K175" s="266" t="str">
        <f t="shared" si="3"/>
        <v>iShares Treasury Bond 7-10 UCITS</v>
      </c>
      <c r="L175" s="156">
        <f t="shared" si="4"/>
        <v>597</v>
      </c>
      <c r="M175" s="156">
        <f t="shared" si="5"/>
        <v>-91106.6</v>
      </c>
      <c r="N175" s="155" t="str">
        <f>IF($P175&lt;&gt;"",IF(MAXIFS(Investment!$M:$M,Investment!$H:$H,LEFT($P175,30)&amp;"*"),MAXIFS(Investment!$M:$M,Investment!$H:$H,LEFT($P175,30)&amp;"*"),),)</f>
        <v/>
      </c>
      <c r="O175" s="158" t="str">
        <f>IF($P175&lt;&gt;"",IF(MAXIFS(Investment!$AH:$AH,Investment!$H:$H,LEFT($P175,30)&amp;"*"),MAXIFS(Investment!$AH:$AH,Investment!$H:$H,LEFT($P175,30)&amp;"*"),),)</f>
        <v/>
      </c>
      <c r="P175" s="141"/>
      <c r="Q175" s="145"/>
      <c r="R175" s="138"/>
    </row>
    <row r="176">
      <c r="A176" s="122">
        <v>43473.0</v>
      </c>
      <c r="B176" s="55" t="s">
        <v>343</v>
      </c>
      <c r="C176" s="55" t="s">
        <v>344</v>
      </c>
      <c r="D176" s="55" t="s">
        <v>319</v>
      </c>
      <c r="E176" s="50">
        <v>-110.0</v>
      </c>
      <c r="F176" s="296">
        <f t="shared" si="165"/>
        <v>42.536</v>
      </c>
      <c r="G176" s="128">
        <v>4678.96</v>
      </c>
      <c r="H176" s="130" t="s">
        <v>992</v>
      </c>
      <c r="I176" s="138">
        <f t="shared" ref="I176:J176" si="179">IFS(AND($B176&lt;&gt;"",$E176&lt;&gt;""),IF(INDEX(N:N,MATCH($C176,$P:$P,0),1)&lt;&gt;"",$E176*INDEX(N:N,MATCH($C176,$P:$P,0),1)+$G176,""),AND($B176&lt;&gt;"",$D176="COST",$G176&lt;0),$G176,TRUE,)</f>
        <v>-678.15</v>
      </c>
      <c r="J176" s="138">
        <f t="shared" si="179"/>
        <v>-426.0540625</v>
      </c>
      <c r="K176" s="266" t="str">
        <f t="shared" si="3"/>
        <v>Vanguard S&amp;P 500 UCITS</v>
      </c>
      <c r="L176" s="156">
        <f t="shared" si="4"/>
        <v>4293</v>
      </c>
      <c r="M176" s="156">
        <f t="shared" si="5"/>
        <v>-183260.93</v>
      </c>
      <c r="N176" s="155" t="str">
        <f>IF($P176&lt;&gt;"",IF(MAXIFS(Investment!$M:$M,Investment!$H:$H,LEFT($P176,30)&amp;"*"),MAXIFS(Investment!$M:$M,Investment!$H:$H,LEFT($P176,30)&amp;"*"),),)</f>
        <v/>
      </c>
      <c r="O176" s="158" t="str">
        <f>IF($P176&lt;&gt;"",IF(MAXIFS(Investment!$AH:$AH,Investment!$H:$H,LEFT($P176,30)&amp;"*"),MAXIFS(Investment!$AH:$AH,Investment!$H:$H,LEFT($P176,30)&amp;"*"),),)</f>
        <v/>
      </c>
      <c r="P176" s="141"/>
      <c r="Q176" s="145"/>
      <c r="R176" s="138"/>
    </row>
    <row r="177">
      <c r="A177" s="122">
        <v>43473.0</v>
      </c>
      <c r="B177" s="55" t="s">
        <v>343</v>
      </c>
      <c r="C177" s="55" t="s">
        <v>344</v>
      </c>
      <c r="D177" s="55" t="s">
        <v>378</v>
      </c>
      <c r="E177" s="50"/>
      <c r="F177" s="296" t="str">
        <f t="shared" si="165"/>
        <v/>
      </c>
      <c r="G177" s="128">
        <v>-2.94</v>
      </c>
      <c r="H177" s="130" t="s">
        <v>998</v>
      </c>
      <c r="I177" s="138">
        <f t="shared" ref="I177:J177" si="180">IFS(AND($B177&lt;&gt;"",$E177&lt;&gt;""),IF(INDEX(N:N,MATCH($C177,$P:$P,0),1)&lt;&gt;"",$E177*INDEX(N:N,MATCH($C177,$P:$P,0),1)+$G177,""),AND($B177&lt;&gt;"",$D177="COST",$G177&lt;0),$G177,TRUE,)</f>
        <v>-2.94</v>
      </c>
      <c r="J177" s="138">
        <f t="shared" si="180"/>
        <v>-2.94</v>
      </c>
      <c r="K177" s="266" t="str">
        <f t="shared" si="3"/>
        <v>Vanguard S&amp;P 500 UCITS</v>
      </c>
      <c r="L177" s="156">
        <f t="shared" si="4"/>
        <v>4293</v>
      </c>
      <c r="M177" s="156">
        <f t="shared" si="5"/>
        <v>-183260.93</v>
      </c>
      <c r="N177" s="155" t="str">
        <f>IF($P177&lt;&gt;"",IF(MAXIFS(Investment!$M:$M,Investment!$H:$H,LEFT($P177,30)&amp;"*"),MAXIFS(Investment!$M:$M,Investment!$H:$H,LEFT($P177,30)&amp;"*"),),)</f>
        <v/>
      </c>
      <c r="O177" s="158" t="str">
        <f>IF($P177&lt;&gt;"",IF(MAXIFS(Investment!$AH:$AH,Investment!$H:$H,LEFT($P177,30)&amp;"*"),MAXIFS(Investment!$AH:$AH,Investment!$H:$H,LEFT($P177,30)&amp;"*"),),)</f>
        <v/>
      </c>
      <c r="P177" s="141"/>
      <c r="Q177" s="145"/>
      <c r="R177" s="138"/>
    </row>
    <row r="178">
      <c r="A178" s="122">
        <v>43473.0</v>
      </c>
      <c r="B178" s="55" t="s">
        <v>268</v>
      </c>
      <c r="C178" s="55" t="s">
        <v>673</v>
      </c>
      <c r="D178" s="55" t="s">
        <v>378</v>
      </c>
      <c r="E178" s="50"/>
      <c r="F178" s="296" t="str">
        <f t="shared" si="165"/>
        <v/>
      </c>
      <c r="G178" s="128">
        <v>-4.42</v>
      </c>
      <c r="H178" s="130" t="s">
        <v>999</v>
      </c>
      <c r="I178" s="138">
        <f t="shared" ref="I178:J178" si="181">IFS(AND($B178&lt;&gt;"",$E178&lt;&gt;""),IF(INDEX(N:N,MATCH($C178,$P:$P,0),1)&lt;&gt;"",$E178*INDEX(N:N,MATCH($C178,$P:$P,0),1)+$G178,""),AND($B178&lt;&gt;"",$D178="COST",$G178&lt;0),$G178,TRUE,)</f>
        <v>-4.42</v>
      </c>
      <c r="J178" s="138">
        <f t="shared" si="181"/>
        <v>-4.42</v>
      </c>
      <c r="K178" s="266" t="str">
        <f t="shared" si="3"/>
        <v>iShares Treasury Bond 20+ UCITS USD Dist</v>
      </c>
      <c r="L178" s="156">
        <f t="shared" si="4"/>
        <v>0</v>
      </c>
      <c r="M178" s="156">
        <f t="shared" si="5"/>
        <v>27424.23</v>
      </c>
      <c r="N178" s="155" t="str">
        <f>IF($P178&lt;&gt;"",IF(MAXIFS(Investment!$M:$M,Investment!$H:$H,LEFT($P178,30)&amp;"*"),MAXIFS(Investment!$M:$M,Investment!$H:$H,LEFT($P178,30)&amp;"*"),),)</f>
        <v/>
      </c>
      <c r="O178" s="158" t="str">
        <f>IF($P178&lt;&gt;"",IF(MAXIFS(Investment!$AH:$AH,Investment!$H:$H,LEFT($P178,30)&amp;"*"),MAXIFS(Investment!$AH:$AH,Investment!$H:$H,LEFT($P178,30)&amp;"*"),),)</f>
        <v/>
      </c>
      <c r="P178" s="141"/>
      <c r="Q178" s="145"/>
      <c r="R178" s="138"/>
    </row>
    <row r="179">
      <c r="A179" s="122">
        <v>43473.0</v>
      </c>
      <c r="B179" s="55" t="s">
        <v>268</v>
      </c>
      <c r="C179" s="55" t="s">
        <v>673</v>
      </c>
      <c r="D179" s="55" t="s">
        <v>330</v>
      </c>
      <c r="E179" s="50">
        <v>3038.0</v>
      </c>
      <c r="F179" s="296">
        <f t="shared" si="165"/>
        <v>3.98817314</v>
      </c>
      <c r="G179" s="128">
        <v>-12116.07</v>
      </c>
      <c r="H179" s="130" t="s">
        <v>1005</v>
      </c>
      <c r="I179" s="138">
        <f t="shared" ref="I179:J179" si="182">IFS(AND($B179&lt;&gt;"",$E179&lt;&gt;""),IF(INDEX(N:N,MATCH($C179,$P:$P,0),1)&lt;&gt;"",$E179*INDEX(N:N,MATCH($C179,$P:$P,0),1)+$G179,""),AND($B179&lt;&gt;"",$D179="COST",$G179&lt;0),$G179,TRUE,)</f>
        <v>1087.078</v>
      </c>
      <c r="J179" s="138">
        <f t="shared" si="182"/>
        <v>-17.55600742</v>
      </c>
      <c r="K179" s="266" t="str">
        <f t="shared" si="3"/>
        <v>iShares Treasury Bond 20+ UCITS USD Dist</v>
      </c>
      <c r="L179" s="156">
        <f t="shared" si="4"/>
        <v>0</v>
      </c>
      <c r="M179" s="156">
        <f t="shared" si="5"/>
        <v>27424.23</v>
      </c>
      <c r="N179" s="155" t="str">
        <f>IF($P179&lt;&gt;"",IF(MAXIFS(Investment!$M:$M,Investment!$H:$H,LEFT($P179,30)&amp;"*"),MAXIFS(Investment!$M:$M,Investment!$H:$H,LEFT($P179,30)&amp;"*"),),)</f>
        <v/>
      </c>
      <c r="O179" s="158" t="str">
        <f>IF($P179&lt;&gt;"",IF(MAXIFS(Investment!$AH:$AH,Investment!$H:$H,LEFT($P179,30)&amp;"*"),MAXIFS(Investment!$AH:$AH,Investment!$H:$H,LEFT($P179,30)&amp;"*"),),)</f>
        <v/>
      </c>
      <c r="P179" s="141"/>
      <c r="Q179" s="145"/>
      <c r="R179" s="138"/>
    </row>
    <row r="180">
      <c r="A180" s="122">
        <v>43473.0</v>
      </c>
      <c r="B180" s="55" t="s">
        <v>364</v>
      </c>
      <c r="C180" s="55" t="s">
        <v>366</v>
      </c>
      <c r="D180" s="55" t="s">
        <v>330</v>
      </c>
      <c r="E180" s="50">
        <v>14.0</v>
      </c>
      <c r="F180" s="296">
        <f t="shared" si="165"/>
        <v>167.5</v>
      </c>
      <c r="G180" s="128">
        <v>-2345.0</v>
      </c>
      <c r="H180" s="130" t="s">
        <v>1006</v>
      </c>
      <c r="I180" s="138">
        <f t="shared" ref="I180:J180" si="183">IFS(AND($B180&lt;&gt;"",$E180&lt;&gt;""),IF(INDEX(N:N,MATCH($C180,$P:$P,0),1)&lt;&gt;"",$E180*INDEX(N:N,MATCH($C180,$P:$P,0),1)+$G180,""),AND($B180&lt;&gt;"",$D180="COST",$G180&lt;0),$G180,TRUE,)</f>
        <v>140</v>
      </c>
      <c r="J180" s="138">
        <f t="shared" si="183"/>
        <v>3.710546875</v>
      </c>
      <c r="K180" s="266" t="str">
        <f t="shared" si="3"/>
        <v>iShares Treasury Bond 7-10 UCITS</v>
      </c>
      <c r="L180" s="156">
        <f t="shared" si="4"/>
        <v>597</v>
      </c>
      <c r="M180" s="156">
        <f t="shared" si="5"/>
        <v>-91106.6</v>
      </c>
      <c r="N180" s="155" t="str">
        <f>IF($P180&lt;&gt;"",IF(MAXIFS(Investment!$M:$M,Investment!$H:$H,LEFT($P180,30)&amp;"*"),MAXIFS(Investment!$M:$M,Investment!$H:$H,LEFT($P180,30)&amp;"*"),),)</f>
        <v/>
      </c>
      <c r="O180" s="158" t="str">
        <f>IF($P180&lt;&gt;"",IF(MAXIFS(Investment!$AH:$AH,Investment!$H:$H,LEFT($P180,30)&amp;"*"),MAXIFS(Investment!$AH:$AH,Investment!$H:$H,LEFT($P180,30)&amp;"*"),),)</f>
        <v/>
      </c>
      <c r="P180" s="141"/>
      <c r="Q180" s="145"/>
      <c r="R180" s="138"/>
    </row>
    <row r="181">
      <c r="A181" s="122">
        <v>43469.0</v>
      </c>
      <c r="B181" s="55"/>
      <c r="C181" s="55"/>
      <c r="D181" s="55" t="s">
        <v>312</v>
      </c>
      <c r="E181" s="50"/>
      <c r="F181" s="296" t="str">
        <f t="shared" si="165"/>
        <v/>
      </c>
      <c r="G181" s="128">
        <v>-1500.0</v>
      </c>
      <c r="H181" s="130" t="s">
        <v>1012</v>
      </c>
      <c r="I181" s="138" t="str">
        <f t="shared" ref="I181:J181" si="184">IFS(AND($B181&lt;&gt;"",$E181&lt;&gt;""),IF(INDEX(N:N,MATCH($C181,$P:$P,0),1)&lt;&gt;"",$E181*INDEX(N:N,MATCH($C181,$P:$P,0),1)+$G181,""),AND($B181&lt;&gt;"",$D181="COST",$G181&lt;0),$G181,TRUE,)</f>
        <v/>
      </c>
      <c r="J181" s="138" t="str">
        <f t="shared" si="184"/>
        <v/>
      </c>
      <c r="K181" s="266" t="str">
        <f t="shared" si="3"/>
        <v/>
      </c>
      <c r="L181" s="156" t="str">
        <f t="shared" si="4"/>
        <v/>
      </c>
      <c r="M181" s="156" t="str">
        <f t="shared" si="5"/>
        <v/>
      </c>
      <c r="N181" s="155" t="str">
        <f>IF($P181&lt;&gt;"",IF(MAXIFS(Investment!$M:$M,Investment!$H:$H,LEFT($P181,30)&amp;"*"),MAXIFS(Investment!$M:$M,Investment!$H:$H,LEFT($P181,30)&amp;"*"),),)</f>
        <v/>
      </c>
      <c r="O181" s="158" t="str">
        <f>IF($P181&lt;&gt;"",IF(MAXIFS(Investment!$AH:$AH,Investment!$H:$H,LEFT($P181,30)&amp;"*"),MAXIFS(Investment!$AH:$AH,Investment!$H:$H,LEFT($P181,30)&amp;"*"),),)</f>
        <v/>
      </c>
      <c r="P181" s="141"/>
      <c r="Q181" s="145"/>
      <c r="R181" s="138"/>
    </row>
    <row r="182">
      <c r="A182" s="122">
        <v>43467.0</v>
      </c>
      <c r="B182" s="55"/>
      <c r="C182" s="55"/>
      <c r="D182" s="55" t="s">
        <v>378</v>
      </c>
      <c r="E182" s="50"/>
      <c r="F182" s="296" t="str">
        <f t="shared" si="165"/>
        <v/>
      </c>
      <c r="G182" s="128">
        <v>-534.69</v>
      </c>
      <c r="H182" s="130" t="s">
        <v>1013</v>
      </c>
      <c r="I182" s="138" t="str">
        <f t="shared" ref="I182:J182" si="185">IFS(AND($B182&lt;&gt;"",$E182&lt;&gt;""),IF(INDEX(N:N,MATCH($C182,$P:$P,0),1)&lt;&gt;"",$E182*INDEX(N:N,MATCH($C182,$P:$P,0),1)+$G182,""),AND($B182&lt;&gt;"",$D182="COST",$G182&lt;0),$G182,TRUE,)</f>
        <v/>
      </c>
      <c r="J182" s="138" t="str">
        <f t="shared" si="185"/>
        <v/>
      </c>
      <c r="K182" s="266" t="str">
        <f t="shared" si="3"/>
        <v/>
      </c>
      <c r="L182" s="156" t="str">
        <f t="shared" si="4"/>
        <v/>
      </c>
      <c r="M182" s="156" t="str">
        <f t="shared" si="5"/>
        <v/>
      </c>
      <c r="N182" s="155" t="str">
        <f>IF($P182&lt;&gt;"",IF(MAXIFS(Investment!$M:$M,Investment!$H:$H,LEFT($P182,30)&amp;"*"),MAXIFS(Investment!$M:$M,Investment!$H:$H,LEFT($P182,30)&amp;"*"),),)</f>
        <v/>
      </c>
      <c r="O182" s="158" t="str">
        <f>IF($P182&lt;&gt;"",IF(MAXIFS(Investment!$AH:$AH,Investment!$H:$H,LEFT($P182,30)&amp;"*"),MAXIFS(Investment!$AH:$AH,Investment!$H:$H,LEFT($P182,30)&amp;"*"),),)</f>
        <v/>
      </c>
      <c r="P182" s="141"/>
      <c r="Q182" s="145"/>
      <c r="R182" s="138"/>
    </row>
    <row r="183">
      <c r="A183" s="122">
        <v>43467.0</v>
      </c>
      <c r="B183" s="55" t="s">
        <v>328</v>
      </c>
      <c r="C183" s="55" t="s">
        <v>329</v>
      </c>
      <c r="D183" s="55" t="s">
        <v>330</v>
      </c>
      <c r="E183" s="50">
        <v>300.0</v>
      </c>
      <c r="F183" s="296">
        <f t="shared" si="165"/>
        <v>6.82</v>
      </c>
      <c r="G183" s="128">
        <v>-2046.0</v>
      </c>
      <c r="H183" s="130" t="s">
        <v>1016</v>
      </c>
      <c r="I183" s="138">
        <f t="shared" ref="I183:J183" si="186">IFS(AND($B183&lt;&gt;"",$E183&lt;&gt;""),IF(INDEX(N:N,MATCH($C183,$P:$P,0),1)&lt;&gt;"",$E183*INDEX(N:N,MATCH($C183,$P:$P,0),1)+$G183,""),AND($B183&lt;&gt;"",$D183="COST",$G183&lt;0),$G183,TRUE,)</f>
        <v>114.6</v>
      </c>
      <c r="J183" s="138">
        <f t="shared" si="186"/>
        <v>150.4113281</v>
      </c>
      <c r="K183" s="266" t="str">
        <f t="shared" si="3"/>
        <v>ETFS All Commodities ETC</v>
      </c>
      <c r="L183" s="156">
        <f t="shared" si="4"/>
        <v>11470</v>
      </c>
      <c r="M183" s="156">
        <f t="shared" si="5"/>
        <v>-83154.49</v>
      </c>
      <c r="N183" s="155" t="str">
        <f>IF($P183&lt;&gt;"",IF(MAXIFS(Investment!$M:$M,Investment!$H:$H,LEFT($P183,30)&amp;"*"),MAXIFS(Investment!$M:$M,Investment!$H:$H,LEFT($P183,30)&amp;"*"),),)</f>
        <v/>
      </c>
      <c r="O183" s="158" t="str">
        <f>IF($P183&lt;&gt;"",IF(MAXIFS(Investment!$AH:$AH,Investment!$H:$H,LEFT($P183,30)&amp;"*"),MAXIFS(Investment!$AH:$AH,Investment!$H:$H,LEFT($P183,30)&amp;"*"),),)</f>
        <v/>
      </c>
      <c r="P183" s="141"/>
      <c r="Q183" s="145"/>
      <c r="R183" s="138"/>
    </row>
    <row r="184">
      <c r="A184" s="122">
        <v>43467.0</v>
      </c>
      <c r="B184" s="55" t="s">
        <v>343</v>
      </c>
      <c r="C184" s="55" t="s">
        <v>344</v>
      </c>
      <c r="D184" s="55" t="s">
        <v>330</v>
      </c>
      <c r="E184" s="50">
        <v>74.0</v>
      </c>
      <c r="F184" s="296">
        <f t="shared" si="165"/>
        <v>41.15</v>
      </c>
      <c r="G184" s="128">
        <v>-3045.1</v>
      </c>
      <c r="H184" s="130" t="s">
        <v>1017</v>
      </c>
      <c r="I184" s="138">
        <f t="shared" ref="I184:J184" si="187">IFS(AND($B184&lt;&gt;"",$E184&lt;&gt;""),IF(INDEX(N:N,MATCH($C184,$P:$P,0),1)&lt;&gt;"",$E184*INDEX(N:N,MATCH($C184,$P:$P,0),1)+$G184,""),AND($B184&lt;&gt;"",$D184="COST",$G184&lt;0),$G184,TRUE,)</f>
        <v>558.774</v>
      </c>
      <c r="J184" s="138">
        <f t="shared" si="187"/>
        <v>389.1821875</v>
      </c>
      <c r="K184" s="266" t="str">
        <f t="shared" si="3"/>
        <v>Vanguard S&amp;P 500 UCITS</v>
      </c>
      <c r="L184" s="156">
        <f t="shared" si="4"/>
        <v>4293</v>
      </c>
      <c r="M184" s="156">
        <f t="shared" si="5"/>
        <v>-183260.93</v>
      </c>
      <c r="N184" s="155" t="str">
        <f>IF($P184&lt;&gt;"",IF(MAXIFS(Investment!$M:$M,Investment!$H:$H,LEFT($P184,30)&amp;"*"),MAXIFS(Investment!$M:$M,Investment!$H:$H,LEFT($P184,30)&amp;"*"),),)</f>
        <v/>
      </c>
      <c r="O184" s="158" t="str">
        <f>IF($P184&lt;&gt;"",IF(MAXIFS(Investment!$AH:$AH,Investment!$H:$H,LEFT($P184,30)&amp;"*"),MAXIFS(Investment!$AH:$AH,Investment!$H:$H,LEFT($P184,30)&amp;"*"),),)</f>
        <v/>
      </c>
      <c r="P184" s="141"/>
      <c r="Q184" s="145"/>
      <c r="R184" s="138"/>
    </row>
    <row r="185">
      <c r="A185" s="122">
        <v>43466.0</v>
      </c>
      <c r="B185" s="124"/>
      <c r="C185" s="130"/>
      <c r="D185" s="298" t="s">
        <v>378</v>
      </c>
      <c r="E185" s="298"/>
      <c r="F185" s="264"/>
      <c r="G185" s="128">
        <v>0.23</v>
      </c>
      <c r="H185" s="130" t="s">
        <v>1024</v>
      </c>
      <c r="I185" s="138" t="str">
        <f t="shared" ref="I185:J185" si="188">IFS(AND($B185&lt;&gt;"",$E185&lt;&gt;""),IF(INDEX(N:N,MATCH($C185,$P:$P,0),1)&lt;&gt;"",$E185*INDEX(N:N,MATCH($C185,$P:$P,0),1)+$G185,""),AND($B185&lt;&gt;"",$D185="COST",$G185&lt;0),$G185,TRUE,)</f>
        <v/>
      </c>
      <c r="J185" s="138" t="str">
        <f t="shared" si="188"/>
        <v/>
      </c>
      <c r="K185" s="266" t="str">
        <f t="shared" si="3"/>
        <v/>
      </c>
      <c r="L185" s="156" t="str">
        <f t="shared" si="4"/>
        <v/>
      </c>
      <c r="M185" s="156" t="str">
        <f t="shared" si="5"/>
        <v/>
      </c>
      <c r="N185" s="155" t="str">
        <f>IF($P185&lt;&gt;"",IF(MAXIFS(Investment!$M:$M,Investment!$H:$H,LEFT($P185,30)&amp;"*"),MAXIFS(Investment!$M:$M,Investment!$H:$H,LEFT($P185,30)&amp;"*"),),)</f>
        <v/>
      </c>
      <c r="O185" s="158" t="str">
        <f>IF($P185&lt;&gt;"",IF(MAXIFS(Investment!$AH:$AH,Investment!$H:$H,LEFT($P185,30)&amp;"*"),MAXIFS(Investment!$AH:$AH,Investment!$H:$H,LEFT($P185,30)&amp;"*"),),)</f>
        <v/>
      </c>
      <c r="P185" s="141"/>
      <c r="Q185" s="145"/>
      <c r="R185" s="138"/>
    </row>
    <row r="186">
      <c r="A186" s="122">
        <v>43465.0</v>
      </c>
      <c r="B186" s="55" t="s">
        <v>268</v>
      </c>
      <c r="C186" s="55" t="s">
        <v>673</v>
      </c>
      <c r="D186" s="55" t="s">
        <v>272</v>
      </c>
      <c r="E186" s="50"/>
      <c r="F186" s="296" t="str">
        <f t="shared" ref="F186:F198" si="190">IF(E186,-G186/E186,"")</f>
        <v/>
      </c>
      <c r="G186" s="128">
        <v>-618.49</v>
      </c>
      <c r="H186" s="130" t="s">
        <v>1027</v>
      </c>
      <c r="I186" s="138" t="str">
        <f t="shared" ref="I186:J186" si="189">IFS(AND($B186&lt;&gt;"",$E186&lt;&gt;""),IF(INDEX(N:N,MATCH($C186,$P:$P,0),1)&lt;&gt;"",$E186*INDEX(N:N,MATCH($C186,$P:$P,0),1)+$G186,""),AND($B186&lt;&gt;"",$D186="COST",$G186&lt;0),$G186,TRUE,)</f>
        <v/>
      </c>
      <c r="J186" s="138" t="str">
        <f t="shared" si="189"/>
        <v/>
      </c>
      <c r="K186" s="266" t="str">
        <f t="shared" si="3"/>
        <v>iShares Treasury Bond 20+ UCITS USD Dist</v>
      </c>
      <c r="L186" s="156">
        <f t="shared" si="4"/>
        <v>0</v>
      </c>
      <c r="M186" s="156">
        <f t="shared" si="5"/>
        <v>27424.23</v>
      </c>
      <c r="N186" s="155" t="str">
        <f>IF($P186&lt;&gt;"",IF(MAXIFS(Investment!$M:$M,Investment!$H:$H,LEFT($P186,30)&amp;"*"),MAXIFS(Investment!$M:$M,Investment!$H:$H,LEFT($P186,30)&amp;"*"),),)</f>
        <v/>
      </c>
      <c r="O186" s="158" t="str">
        <f>IF($P186&lt;&gt;"",IF(MAXIFS(Investment!$AH:$AH,Investment!$H:$H,LEFT($P186,30)&amp;"*"),MAXIFS(Investment!$AH:$AH,Investment!$H:$H,LEFT($P186,30)&amp;"*"),),)</f>
        <v/>
      </c>
      <c r="P186" s="141"/>
      <c r="Q186" s="145"/>
      <c r="R186" s="138"/>
    </row>
    <row r="187">
      <c r="A187" s="122">
        <v>43464.0</v>
      </c>
      <c r="B187" s="55" t="s">
        <v>268</v>
      </c>
      <c r="C187" s="55" t="s">
        <v>673</v>
      </c>
      <c r="D187" s="55" t="s">
        <v>272</v>
      </c>
      <c r="E187" s="50"/>
      <c r="F187" s="296" t="str">
        <f t="shared" si="190"/>
        <v/>
      </c>
      <c r="G187" s="128">
        <v>4867.15</v>
      </c>
      <c r="H187" s="130" t="s">
        <v>1029</v>
      </c>
      <c r="I187" s="138" t="str">
        <f t="shared" ref="I187:J187" si="191">IFS(AND($B187&lt;&gt;"",$E187&lt;&gt;""),IF(INDEX(N:N,MATCH($C187,$P:$P,0),1)&lt;&gt;"",$E187*INDEX(N:N,MATCH($C187,$P:$P,0),1)+$G187,""),AND($B187&lt;&gt;"",$D187="COST",$G187&lt;0),$G187,TRUE,)</f>
        <v/>
      </c>
      <c r="J187" s="138" t="str">
        <f t="shared" si="191"/>
        <v/>
      </c>
      <c r="K187" s="266" t="str">
        <f t="shared" si="3"/>
        <v>iShares Treasury Bond 20+ UCITS USD Dist</v>
      </c>
      <c r="L187" s="156">
        <f t="shared" si="4"/>
        <v>0</v>
      </c>
      <c r="M187" s="156">
        <f t="shared" si="5"/>
        <v>27424.23</v>
      </c>
      <c r="N187" s="155" t="str">
        <f>IF($P187&lt;&gt;"",IF(MAXIFS(Investment!$M:$M,Investment!$H:$H,LEFT($P187,30)&amp;"*"),MAXIFS(Investment!$M:$M,Investment!$H:$H,LEFT($P187,30)&amp;"*"),),)</f>
        <v/>
      </c>
      <c r="O187" s="158" t="str">
        <f>IF($P187&lt;&gt;"",IF(MAXIFS(Investment!$AH:$AH,Investment!$H:$H,LEFT($P187,30)&amp;"*"),MAXIFS(Investment!$AH:$AH,Investment!$H:$H,LEFT($P187,30)&amp;"*"),),)</f>
        <v/>
      </c>
      <c r="P187" s="141"/>
      <c r="Q187" s="145"/>
      <c r="R187" s="138"/>
    </row>
    <row r="188">
      <c r="A188" s="122">
        <v>43461.0</v>
      </c>
      <c r="B188" s="55" t="s">
        <v>364</v>
      </c>
      <c r="C188" s="55" t="s">
        <v>366</v>
      </c>
      <c r="D188" s="55" t="s">
        <v>319</v>
      </c>
      <c r="E188" s="50">
        <v>-2.0</v>
      </c>
      <c r="F188" s="296">
        <f t="shared" si="190"/>
        <v>166.98</v>
      </c>
      <c r="G188" s="128">
        <v>333.96</v>
      </c>
      <c r="H188" s="130" t="s">
        <v>1030</v>
      </c>
      <c r="I188" s="138">
        <f t="shared" ref="I188:J188" si="192">IFS(AND($B188&lt;&gt;"",$E188&lt;&gt;""),IF(INDEX(N:N,MATCH($C188,$P:$P,0),1)&lt;&gt;"",$E188*INDEX(N:N,MATCH($C188,$P:$P,0),1)+$G188,""),AND($B188&lt;&gt;"",$D188="COST",$G188&lt;0),$G188,TRUE,)</f>
        <v>-21.04</v>
      </c>
      <c r="J188" s="138">
        <f t="shared" si="192"/>
        <v>-1.570078125</v>
      </c>
      <c r="K188" s="266" t="str">
        <f t="shared" si="3"/>
        <v>iShares Treasury Bond 7-10 UCITS</v>
      </c>
      <c r="L188" s="156">
        <f t="shared" si="4"/>
        <v>597</v>
      </c>
      <c r="M188" s="156">
        <f t="shared" si="5"/>
        <v>-91106.6</v>
      </c>
      <c r="N188" s="155" t="str">
        <f>IF($P188&lt;&gt;"",IF(MAXIFS(Investment!$M:$M,Investment!$H:$H,LEFT($P188,30)&amp;"*"),MAXIFS(Investment!$M:$M,Investment!$H:$H,LEFT($P188,30)&amp;"*"),),)</f>
        <v/>
      </c>
      <c r="O188" s="158" t="str">
        <f>IF($P188&lt;&gt;"",IF(MAXIFS(Investment!$AH:$AH,Investment!$H:$H,LEFT($P188,30)&amp;"*"),MAXIFS(Investment!$AH:$AH,Investment!$H:$H,LEFT($P188,30)&amp;"*"),),)</f>
        <v/>
      </c>
      <c r="P188" s="141"/>
      <c r="Q188" s="145"/>
      <c r="R188" s="138"/>
    </row>
    <row r="189">
      <c r="A189" s="122">
        <v>43461.0</v>
      </c>
      <c r="B189" s="55" t="s">
        <v>364</v>
      </c>
      <c r="C189" s="55" t="s">
        <v>366</v>
      </c>
      <c r="D189" s="55" t="s">
        <v>319</v>
      </c>
      <c r="E189" s="50">
        <v>-5.0</v>
      </c>
      <c r="F189" s="296">
        <f t="shared" si="190"/>
        <v>166.98</v>
      </c>
      <c r="G189" s="128">
        <v>834.9</v>
      </c>
      <c r="H189" s="130" t="s">
        <v>1033</v>
      </c>
      <c r="I189" s="138">
        <f t="shared" ref="I189:J189" si="193">IFS(AND($B189&lt;&gt;"",$E189&lt;&gt;""),IF(INDEX(N:N,MATCH($C189,$P:$P,0),1)&lt;&gt;"",$E189*INDEX(N:N,MATCH($C189,$P:$P,0),1)+$G189,""),AND($B189&lt;&gt;"",$D189="COST",$G189&lt;0),$G189,TRUE,)</f>
        <v>-52.6</v>
      </c>
      <c r="J189" s="138">
        <f t="shared" si="193"/>
        <v>-3.925195312</v>
      </c>
      <c r="K189" s="266" t="str">
        <f t="shared" si="3"/>
        <v>iShares Treasury Bond 7-10 UCITS</v>
      </c>
      <c r="L189" s="156">
        <f t="shared" si="4"/>
        <v>597</v>
      </c>
      <c r="M189" s="156">
        <f t="shared" si="5"/>
        <v>-91106.6</v>
      </c>
      <c r="N189" s="155" t="str">
        <f>IF($P189&lt;&gt;"",IF(MAXIFS(Investment!$M:$M,Investment!$H:$H,LEFT($P189,30)&amp;"*"),MAXIFS(Investment!$M:$M,Investment!$H:$H,LEFT($P189,30)&amp;"*"),),)</f>
        <v/>
      </c>
      <c r="O189" s="158" t="str">
        <f>IF($P189&lt;&gt;"",IF(MAXIFS(Investment!$AH:$AH,Investment!$H:$H,LEFT($P189,30)&amp;"*"),MAXIFS(Investment!$AH:$AH,Investment!$H:$H,LEFT($P189,30)&amp;"*"),),)</f>
        <v/>
      </c>
      <c r="P189" s="141"/>
      <c r="Q189" s="145"/>
      <c r="R189" s="138"/>
    </row>
    <row r="190">
      <c r="A190" s="122">
        <v>43461.0</v>
      </c>
      <c r="B190" s="55" t="s">
        <v>364</v>
      </c>
      <c r="C190" s="55" t="s">
        <v>366</v>
      </c>
      <c r="D190" s="55" t="s">
        <v>319</v>
      </c>
      <c r="E190" s="50">
        <v>-9.0</v>
      </c>
      <c r="F190" s="296">
        <f t="shared" si="190"/>
        <v>166.95</v>
      </c>
      <c r="G190" s="128">
        <v>1502.55</v>
      </c>
      <c r="H190" s="130" t="s">
        <v>1035</v>
      </c>
      <c r="I190" s="138">
        <f t="shared" ref="I190:J190" si="194">IFS(AND($B190&lt;&gt;"",$E190&lt;&gt;""),IF(INDEX(N:N,MATCH($C190,$P:$P,0),1)&lt;&gt;"",$E190*INDEX(N:N,MATCH($C190,$P:$P,0),1)+$G190,""),AND($B190&lt;&gt;"",$D190="COST",$G190&lt;0),$G190,TRUE,)</f>
        <v>-94.95</v>
      </c>
      <c r="J190" s="138">
        <f t="shared" si="194"/>
        <v>-7.335351562</v>
      </c>
      <c r="K190" s="266" t="str">
        <f t="shared" si="3"/>
        <v>iShares Treasury Bond 7-10 UCITS</v>
      </c>
      <c r="L190" s="156">
        <f t="shared" si="4"/>
        <v>597</v>
      </c>
      <c r="M190" s="156">
        <f t="shared" si="5"/>
        <v>-91106.6</v>
      </c>
      <c r="N190" s="155" t="str">
        <f>IF($P190&lt;&gt;"",IF(MAXIFS(Investment!$M:$M,Investment!$H:$H,LEFT($P190,30)&amp;"*"),MAXIFS(Investment!$M:$M,Investment!$H:$H,LEFT($P190,30)&amp;"*"),),)</f>
        <v/>
      </c>
      <c r="O190" s="158" t="str">
        <f>IF($P190&lt;&gt;"",IF(MAXIFS(Investment!$AH:$AH,Investment!$H:$H,LEFT($P190,30)&amp;"*"),MAXIFS(Investment!$AH:$AH,Investment!$H:$H,LEFT($P190,30)&amp;"*"),),)</f>
        <v/>
      </c>
      <c r="P190" s="141"/>
      <c r="Q190" s="145"/>
      <c r="R190" s="138"/>
    </row>
    <row r="191">
      <c r="A191" s="122">
        <v>43461.0</v>
      </c>
      <c r="B191" s="55" t="s">
        <v>317</v>
      </c>
      <c r="C191" s="55" t="s">
        <v>318</v>
      </c>
      <c r="D191" s="55" t="s">
        <v>319</v>
      </c>
      <c r="E191" s="50">
        <v>-11.0</v>
      </c>
      <c r="F191" s="296">
        <f t="shared" si="190"/>
        <v>106.6</v>
      </c>
      <c r="G191" s="128">
        <v>1172.6</v>
      </c>
      <c r="H191" s="130" t="s">
        <v>1037</v>
      </c>
      <c r="I191" s="138">
        <f t="shared" ref="I191:J191" si="195">IFS(AND($B191&lt;&gt;"",$E191&lt;&gt;""),IF(INDEX(N:N,MATCH($C191,$P:$P,0),1)&lt;&gt;"",$E191*INDEX(N:N,MATCH($C191,$P:$P,0),1)+$G191,""),AND($B191&lt;&gt;"",$D191="COST",$G191&lt;0),$G191,TRUE,)</f>
        <v>-126.5</v>
      </c>
      <c r="J191" s="138">
        <f t="shared" si="195"/>
        <v>9.866484375</v>
      </c>
      <c r="K191" s="266" t="str">
        <f t="shared" si="3"/>
        <v>ETFS Physical Gold</v>
      </c>
      <c r="L191" s="156">
        <f t="shared" si="4"/>
        <v>443</v>
      </c>
      <c r="M191" s="156">
        <f t="shared" si="5"/>
        <v>-44918.1</v>
      </c>
      <c r="N191" s="155" t="str">
        <f>IF($P191&lt;&gt;"",IF(MAXIFS(Investment!$M:$M,Investment!$H:$H,LEFT($P191,30)&amp;"*"),MAXIFS(Investment!$M:$M,Investment!$H:$H,LEFT($P191,30)&amp;"*"),),)</f>
        <v/>
      </c>
      <c r="O191" s="158" t="str">
        <f>IF($P191&lt;&gt;"",IF(MAXIFS(Investment!$AH:$AH,Investment!$H:$H,LEFT($P191,30)&amp;"*"),MAXIFS(Investment!$AH:$AH,Investment!$H:$H,LEFT($P191,30)&amp;"*"),),)</f>
        <v/>
      </c>
      <c r="P191" s="141"/>
      <c r="Q191" s="145"/>
      <c r="R191" s="138"/>
    </row>
    <row r="192">
      <c r="A192" s="122">
        <v>43461.0</v>
      </c>
      <c r="B192" s="55" t="s">
        <v>268</v>
      </c>
      <c r="C192" s="55" t="s">
        <v>673</v>
      </c>
      <c r="D192" s="55" t="s">
        <v>378</v>
      </c>
      <c r="E192" s="50"/>
      <c r="F192" s="296" t="str">
        <f t="shared" si="190"/>
        <v/>
      </c>
      <c r="G192" s="128">
        <v>-2.28</v>
      </c>
      <c r="H192" s="130" t="s">
        <v>1042</v>
      </c>
      <c r="I192" s="138">
        <f t="shared" ref="I192:J192" si="196">IFS(AND($B192&lt;&gt;"",$E192&lt;&gt;""),IF(INDEX(N:N,MATCH($C192,$P:$P,0),1)&lt;&gt;"",$E192*INDEX(N:N,MATCH($C192,$P:$P,0),1)+$G192,""),AND($B192&lt;&gt;"",$D192="COST",$G192&lt;0),$G192,TRUE,)</f>
        <v>-2.28</v>
      </c>
      <c r="J192" s="138">
        <f t="shared" si="196"/>
        <v>-2.28</v>
      </c>
      <c r="K192" s="266" t="str">
        <f t="shared" si="3"/>
        <v>iShares Treasury Bond 20+ UCITS USD Dist</v>
      </c>
      <c r="L192" s="156">
        <f t="shared" si="4"/>
        <v>0</v>
      </c>
      <c r="M192" s="156">
        <f t="shared" si="5"/>
        <v>27424.23</v>
      </c>
      <c r="N192" s="155" t="str">
        <f>IF($P192&lt;&gt;"",IF(MAXIFS(Investment!$M:$M,Investment!$H:$H,LEFT($P192,30)&amp;"*"),MAXIFS(Investment!$M:$M,Investment!$H:$H,LEFT($P192,30)&amp;"*"),),)</f>
        <v/>
      </c>
      <c r="O192" s="158" t="str">
        <f>IF($P192&lt;&gt;"",IF(MAXIFS(Investment!$AH:$AH,Investment!$H:$H,LEFT($P192,30)&amp;"*"),MAXIFS(Investment!$AH:$AH,Investment!$H:$H,LEFT($P192,30)&amp;"*"),),)</f>
        <v/>
      </c>
      <c r="P192" s="141"/>
      <c r="Q192" s="145"/>
      <c r="R192" s="138"/>
    </row>
    <row r="193">
      <c r="A193" s="122">
        <v>43461.0</v>
      </c>
      <c r="B193" s="55" t="s">
        <v>268</v>
      </c>
      <c r="C193" s="55" t="s">
        <v>673</v>
      </c>
      <c r="D193" s="55" t="s">
        <v>319</v>
      </c>
      <c r="E193" s="50">
        <v>-355.0</v>
      </c>
      <c r="F193" s="296">
        <f t="shared" si="190"/>
        <v>3.958028169</v>
      </c>
      <c r="G193" s="128">
        <v>1405.1</v>
      </c>
      <c r="H193" s="130" t="s">
        <v>1043</v>
      </c>
      <c r="I193" s="138">
        <f t="shared" ref="I193:J193" si="197">IFS(AND($B193&lt;&gt;"",$E193&lt;&gt;""),IF(INDEX(N:N,MATCH($C193,$P:$P,0),1)&lt;&gt;"",$E193*INDEX(N:N,MATCH($C193,$P:$P,0),1)+$G193,""),AND($B193&lt;&gt;"",$D193="COST",$G193&lt;0),$G193,TRUE,)</f>
        <v>-137.73</v>
      </c>
      <c r="J193" s="138">
        <f t="shared" si="197"/>
        <v>-8.649989258</v>
      </c>
      <c r="K193" s="266" t="str">
        <f t="shared" si="3"/>
        <v>iShares Treasury Bond 20+ UCITS USD Dist</v>
      </c>
      <c r="L193" s="156">
        <f t="shared" si="4"/>
        <v>0</v>
      </c>
      <c r="M193" s="156">
        <f t="shared" si="5"/>
        <v>27424.23</v>
      </c>
      <c r="N193" s="155" t="str">
        <f>IF($P193&lt;&gt;"",IF(MAXIFS(Investment!$M:$M,Investment!$H:$H,LEFT($P193,30)&amp;"*"),MAXIFS(Investment!$M:$M,Investment!$H:$H,LEFT($P193,30)&amp;"*"),),)</f>
        <v/>
      </c>
      <c r="O193" s="158" t="str">
        <f>IF($P193&lt;&gt;"",IF(MAXIFS(Investment!$AH:$AH,Investment!$H:$H,LEFT($P193,30)&amp;"*"),MAXIFS(Investment!$AH:$AH,Investment!$H:$H,LEFT($P193,30)&amp;"*"),),)</f>
        <v/>
      </c>
      <c r="P193" s="141"/>
      <c r="Q193" s="145"/>
      <c r="R193" s="138"/>
    </row>
    <row r="194">
      <c r="A194" s="122">
        <v>43461.0</v>
      </c>
      <c r="B194" s="55" t="s">
        <v>268</v>
      </c>
      <c r="C194" s="55" t="s">
        <v>673</v>
      </c>
      <c r="D194" s="55" t="s">
        <v>378</v>
      </c>
      <c r="E194" s="50"/>
      <c r="F194" s="296" t="str">
        <f t="shared" si="190"/>
        <v/>
      </c>
      <c r="G194" s="128">
        <v>-0.55</v>
      </c>
      <c r="H194" s="130" t="s">
        <v>1046</v>
      </c>
      <c r="I194" s="138">
        <f t="shared" ref="I194:J194" si="198">IFS(AND($B194&lt;&gt;"",$E194&lt;&gt;""),IF(INDEX(N:N,MATCH($C194,$P:$P,0),1)&lt;&gt;"",$E194*INDEX(N:N,MATCH($C194,$P:$P,0),1)+$G194,""),AND($B194&lt;&gt;"",$D194="COST",$G194&lt;0),$G194,TRUE,)</f>
        <v>-0.55</v>
      </c>
      <c r="J194" s="138">
        <f t="shared" si="198"/>
        <v>-0.55</v>
      </c>
      <c r="K194" s="266" t="str">
        <f t="shared" si="3"/>
        <v>iShares Treasury Bond 20+ UCITS USD Dist</v>
      </c>
      <c r="L194" s="156">
        <f t="shared" si="4"/>
        <v>0</v>
      </c>
      <c r="M194" s="156">
        <f t="shared" si="5"/>
        <v>27424.23</v>
      </c>
      <c r="N194" s="155" t="str">
        <f>IF($P194&lt;&gt;"",IF(MAXIFS(Investment!$M:$M,Investment!$H:$H,LEFT($P194,30)&amp;"*"),MAXIFS(Investment!$M:$M,Investment!$H:$H,LEFT($P194,30)&amp;"*"),),)</f>
        <v/>
      </c>
      <c r="O194" s="158" t="str">
        <f>IF($P194&lt;&gt;"",IF(MAXIFS(Investment!$AH:$AH,Investment!$H:$H,LEFT($P194,30)&amp;"*"),MAXIFS(Investment!$AH:$AH,Investment!$H:$H,LEFT($P194,30)&amp;"*"),),)</f>
        <v/>
      </c>
      <c r="P194" s="141"/>
      <c r="Q194" s="145"/>
      <c r="R194" s="138"/>
    </row>
    <row r="195">
      <c r="A195" s="122">
        <v>43461.0</v>
      </c>
      <c r="B195" s="55" t="s">
        <v>268</v>
      </c>
      <c r="C195" s="55" t="s">
        <v>673</v>
      </c>
      <c r="D195" s="55" t="s">
        <v>319</v>
      </c>
      <c r="E195" s="50">
        <v>-691.0</v>
      </c>
      <c r="F195" s="296">
        <f t="shared" si="190"/>
        <v>3.95577424</v>
      </c>
      <c r="G195" s="128">
        <v>2733.44</v>
      </c>
      <c r="H195" s="130" t="s">
        <v>1047</v>
      </c>
      <c r="I195" s="138">
        <f t="shared" ref="I195:J195" si="199">IFS(AND($B195&lt;&gt;"",$E195&lt;&gt;""),IF(INDEX(N:N,MATCH($C195,$P:$P,0),1)&lt;&gt;"",$E195*INDEX(N:N,MATCH($C195,$P:$P,0),1)+$G195,""),AND($B195&lt;&gt;"",$D195="COST",$G195&lt;0),$G195,TRUE,)</f>
        <v>-269.646</v>
      </c>
      <c r="J195" s="138">
        <f t="shared" si="199"/>
        <v>-18.39448613</v>
      </c>
      <c r="K195" s="266" t="str">
        <f t="shared" si="3"/>
        <v>iShares Treasury Bond 20+ UCITS USD Dist</v>
      </c>
      <c r="L195" s="156">
        <f t="shared" si="4"/>
        <v>0</v>
      </c>
      <c r="M195" s="156">
        <f t="shared" si="5"/>
        <v>27424.23</v>
      </c>
      <c r="N195" s="155" t="str">
        <f>IF($P195&lt;&gt;"",IF(MAXIFS(Investment!$M:$M,Investment!$H:$H,LEFT($P195,30)&amp;"*"),MAXIFS(Investment!$M:$M,Investment!$H:$H,LEFT($P195,30)&amp;"*"),),)</f>
        <v/>
      </c>
      <c r="O195" s="158" t="str">
        <f>IF($P195&lt;&gt;"",IF(MAXIFS(Investment!$AH:$AH,Investment!$H:$H,LEFT($P195,30)&amp;"*"),MAXIFS(Investment!$AH:$AH,Investment!$H:$H,LEFT($P195,30)&amp;"*"),),)</f>
        <v/>
      </c>
      <c r="P195" s="141"/>
      <c r="Q195" s="145"/>
      <c r="R195" s="138"/>
    </row>
    <row r="196">
      <c r="A196" s="122">
        <v>43455.0</v>
      </c>
      <c r="B196" s="55" t="s">
        <v>317</v>
      </c>
      <c r="C196" s="55" t="s">
        <v>318</v>
      </c>
      <c r="D196" s="55" t="s">
        <v>319</v>
      </c>
      <c r="E196" s="50">
        <v>-10.0</v>
      </c>
      <c r="F196" s="296">
        <f t="shared" si="190"/>
        <v>105.65</v>
      </c>
      <c r="G196" s="128">
        <v>1056.5</v>
      </c>
      <c r="H196" s="130" t="s">
        <v>1050</v>
      </c>
      <c r="I196" s="138">
        <f t="shared" ref="I196:J196" si="200">IFS(AND($B196&lt;&gt;"",$E196&lt;&gt;""),IF(INDEX(N:N,MATCH($C196,$P:$P,0),1)&lt;&gt;"",$E196*INDEX(N:N,MATCH($C196,$P:$P,0),1)+$G196,""),AND($B196&lt;&gt;"",$D196="COST",$G196&lt;0),$G196,TRUE,)</f>
        <v>-124.5</v>
      </c>
      <c r="J196" s="138">
        <f t="shared" si="200"/>
        <v>-0.53046875</v>
      </c>
      <c r="K196" s="266" t="str">
        <f t="shared" si="3"/>
        <v>ETFS Physical Gold</v>
      </c>
      <c r="L196" s="156">
        <f t="shared" si="4"/>
        <v>443</v>
      </c>
      <c r="M196" s="156">
        <f t="shared" si="5"/>
        <v>-44918.1</v>
      </c>
      <c r="N196" s="155" t="str">
        <f>IF($P196&lt;&gt;"",IF(MAXIFS(Investment!$M:$M,Investment!$H:$H,LEFT($P196,30)&amp;"*"),MAXIFS(Investment!$M:$M,Investment!$H:$H,LEFT($P196,30)&amp;"*"),),)</f>
        <v/>
      </c>
      <c r="O196" s="158" t="str">
        <f>IF($P196&lt;&gt;"",IF(MAXIFS(Investment!$AH:$AH,Investment!$H:$H,LEFT($P196,30)&amp;"*"),MAXIFS(Investment!$AH:$AH,Investment!$H:$H,LEFT($P196,30)&amp;"*"),),)</f>
        <v/>
      </c>
      <c r="P196" s="141"/>
      <c r="Q196" s="145"/>
      <c r="R196" s="138"/>
    </row>
    <row r="197">
      <c r="A197" s="122">
        <v>43455.0</v>
      </c>
      <c r="B197" s="55" t="s">
        <v>364</v>
      </c>
      <c r="C197" s="55" t="s">
        <v>366</v>
      </c>
      <c r="D197" s="55" t="s">
        <v>319</v>
      </c>
      <c r="E197" s="50">
        <v>-10.0</v>
      </c>
      <c r="F197" s="296">
        <f t="shared" si="190"/>
        <v>166.55</v>
      </c>
      <c r="G197" s="128">
        <v>1665.5</v>
      </c>
      <c r="H197" s="130" t="s">
        <v>1051</v>
      </c>
      <c r="I197" s="138">
        <f t="shared" ref="I197:J197" si="201">IFS(AND($B197&lt;&gt;"",$E197&lt;&gt;""),IF(INDEX(N:N,MATCH($C197,$P:$P,0),1)&lt;&gt;"",$E197*INDEX(N:N,MATCH($C197,$P:$P,0),1)+$G197,""),AND($B197&lt;&gt;"",$D197="COST",$G197&lt;0),$G197,TRUE,)</f>
        <v>-109.5</v>
      </c>
      <c r="J197" s="138">
        <f t="shared" si="201"/>
        <v>-12.15039062</v>
      </c>
      <c r="K197" s="266" t="str">
        <f t="shared" si="3"/>
        <v>iShares Treasury Bond 7-10 UCITS</v>
      </c>
      <c r="L197" s="156">
        <f t="shared" si="4"/>
        <v>597</v>
      </c>
      <c r="M197" s="156">
        <f t="shared" si="5"/>
        <v>-91106.6</v>
      </c>
      <c r="N197" s="155" t="str">
        <f>IF($P197&lt;&gt;"",IF(MAXIFS(Investment!$M:$M,Investment!$H:$H,LEFT($P197,30)&amp;"*"),MAXIFS(Investment!$M:$M,Investment!$H:$H,LEFT($P197,30)&amp;"*"),),)</f>
        <v/>
      </c>
      <c r="O197" s="158" t="str">
        <f>IF($P197&lt;&gt;"",IF(MAXIFS(Investment!$AH:$AH,Investment!$H:$H,LEFT($P197,30)&amp;"*"),MAXIFS(Investment!$AH:$AH,Investment!$H:$H,LEFT($P197,30)&amp;"*"),),)</f>
        <v/>
      </c>
      <c r="P197" s="141"/>
      <c r="Q197" s="145"/>
      <c r="R197" s="138"/>
    </row>
    <row r="198">
      <c r="A198" s="122">
        <v>43454.0</v>
      </c>
      <c r="B198" s="55" t="s">
        <v>343</v>
      </c>
      <c r="C198" s="55" t="s">
        <v>344</v>
      </c>
      <c r="D198" s="55" t="s">
        <v>330</v>
      </c>
      <c r="E198" s="50">
        <v>100.0</v>
      </c>
      <c r="F198" s="296">
        <f t="shared" si="190"/>
        <v>41.63</v>
      </c>
      <c r="G198" s="128">
        <v>-4163.0</v>
      </c>
      <c r="H198" s="130" t="s">
        <v>1054</v>
      </c>
      <c r="I198" s="138">
        <f t="shared" ref="I198:J198" si="202">IFS(AND($B198&lt;&gt;"",$E198&lt;&gt;""),IF(INDEX(N:N,MATCH($C198,$P:$P,0),1)&lt;&gt;"",$E198*INDEX(N:N,MATCH($C198,$P:$P,0),1)+$G198,""),AND($B198&lt;&gt;"",$D198="COST",$G198&lt;0),$G198,TRUE,)</f>
        <v>707.1</v>
      </c>
      <c r="J198" s="138">
        <f t="shared" si="202"/>
        <v>477.921875</v>
      </c>
      <c r="K198" s="266" t="str">
        <f t="shared" si="3"/>
        <v>Vanguard S&amp;P 500 UCITS</v>
      </c>
      <c r="L198" s="156">
        <f t="shared" si="4"/>
        <v>4293</v>
      </c>
      <c r="M198" s="156">
        <f t="shared" si="5"/>
        <v>-183260.93</v>
      </c>
      <c r="N198" s="155" t="str">
        <f>IF($P198&lt;&gt;"",IF(MAXIFS(Investment!$M:$M,Investment!$H:$H,LEFT($P198,30)&amp;"*"),MAXIFS(Investment!$M:$M,Investment!$H:$H,LEFT($P198,30)&amp;"*"),),)</f>
        <v/>
      </c>
      <c r="O198" s="158" t="str">
        <f>IF($P198&lt;&gt;"",IF(MAXIFS(Investment!$AH:$AH,Investment!$H:$H,LEFT($P198,30)&amp;"*"),MAXIFS(Investment!$AH:$AH,Investment!$H:$H,LEFT($P198,30)&amp;"*"),),)</f>
        <v/>
      </c>
      <c r="P198" s="141"/>
      <c r="Q198" s="145"/>
      <c r="R198" s="138"/>
    </row>
    <row r="199">
      <c r="A199" s="122">
        <v>43454.0</v>
      </c>
      <c r="B199" s="55" t="s">
        <v>343</v>
      </c>
      <c r="C199" s="55" t="s">
        <v>344</v>
      </c>
      <c r="D199" s="55" t="s">
        <v>378</v>
      </c>
      <c r="E199" s="50"/>
      <c r="F199" s="264"/>
      <c r="G199" s="128">
        <v>-2.83</v>
      </c>
      <c r="H199" s="130" t="s">
        <v>1055</v>
      </c>
      <c r="I199" s="138">
        <f t="shared" ref="I199:J199" si="203">IFS(AND($B199&lt;&gt;"",$E199&lt;&gt;""),IF(INDEX(N:N,MATCH($C199,$P:$P,0),1)&lt;&gt;"",$E199*INDEX(N:N,MATCH($C199,$P:$P,0),1)+$G199,""),AND($B199&lt;&gt;"",$D199="COST",$G199&lt;0),$G199,TRUE,)</f>
        <v>-2.83</v>
      </c>
      <c r="J199" s="138">
        <f t="shared" si="203"/>
        <v>-2.83</v>
      </c>
      <c r="K199" s="266" t="str">
        <f t="shared" si="3"/>
        <v>Vanguard S&amp;P 500 UCITS</v>
      </c>
      <c r="L199" s="156">
        <f t="shared" si="4"/>
        <v>4293</v>
      </c>
      <c r="M199" s="156">
        <f t="shared" si="5"/>
        <v>-183260.93</v>
      </c>
      <c r="N199" s="155" t="str">
        <f>IF($P199&lt;&gt;"",IF(MAXIFS(Investment!$M:$M,Investment!$H:$H,LEFT($P199,30)&amp;"*"),MAXIFS(Investment!$M:$M,Investment!$H:$H,LEFT($P199,30)&amp;"*"),),)</f>
        <v/>
      </c>
      <c r="O199" s="158" t="str">
        <f>IF($P199&lt;&gt;"",IF(MAXIFS(Investment!$AH:$AH,Investment!$H:$H,LEFT($P199,30)&amp;"*"),MAXIFS(Investment!$AH:$AH,Investment!$H:$H,LEFT($P199,30)&amp;"*"),),)</f>
        <v/>
      </c>
      <c r="P199" s="141"/>
      <c r="Q199" s="145"/>
      <c r="R199" s="138"/>
    </row>
    <row r="200">
      <c r="A200" s="122">
        <v>43454.0</v>
      </c>
      <c r="B200" s="55" t="s">
        <v>268</v>
      </c>
      <c r="C200" s="55" t="s">
        <v>673</v>
      </c>
      <c r="D200" s="55" t="s">
        <v>378</v>
      </c>
      <c r="E200" s="50"/>
      <c r="F200" s="264"/>
      <c r="G200" s="128">
        <v>-2.43</v>
      </c>
      <c r="H200" s="130" t="s">
        <v>1057</v>
      </c>
      <c r="I200" s="138">
        <f t="shared" ref="I200:J200" si="204">IFS(AND($B200&lt;&gt;"",$E200&lt;&gt;""),IF(INDEX(N:N,MATCH($C200,$P:$P,0),1)&lt;&gt;"",$E200*INDEX(N:N,MATCH($C200,$P:$P,0),1)+$G200,""),AND($B200&lt;&gt;"",$D200="COST",$G200&lt;0),$G200,TRUE,)</f>
        <v>-2.43</v>
      </c>
      <c r="J200" s="138">
        <f t="shared" si="204"/>
        <v>-2.43</v>
      </c>
      <c r="K200" s="266" t="str">
        <f t="shared" si="3"/>
        <v>iShares Treasury Bond 20+ UCITS USD Dist</v>
      </c>
      <c r="L200" s="156">
        <f t="shared" si="4"/>
        <v>0</v>
      </c>
      <c r="M200" s="156">
        <f t="shared" si="5"/>
        <v>27424.23</v>
      </c>
      <c r="N200" s="155" t="str">
        <f>IF($P200&lt;&gt;"",IF(MAXIFS(Investment!$M:$M,Investment!$H:$H,LEFT($P200,30)&amp;"*"),MAXIFS(Investment!$M:$M,Investment!$H:$H,LEFT($P200,30)&amp;"*"),),)</f>
        <v/>
      </c>
      <c r="O200" s="158" t="str">
        <f>IF($P200&lt;&gt;"",IF(MAXIFS(Investment!$AH:$AH,Investment!$H:$H,LEFT($P200,30)&amp;"*"),MAXIFS(Investment!$AH:$AH,Investment!$H:$H,LEFT($P200,30)&amp;"*"),),)</f>
        <v/>
      </c>
      <c r="P200" s="141"/>
      <c r="Q200" s="145"/>
      <c r="R200" s="138"/>
    </row>
    <row r="201">
      <c r="A201" s="122">
        <v>43454.0</v>
      </c>
      <c r="B201" s="55" t="s">
        <v>268</v>
      </c>
      <c r="C201" s="55" t="s">
        <v>673</v>
      </c>
      <c r="D201" s="55" t="s">
        <v>319</v>
      </c>
      <c r="E201" s="50">
        <v>-544.0</v>
      </c>
      <c r="F201" s="264">
        <v>3.971</v>
      </c>
      <c r="G201" s="128">
        <v>2160.24</v>
      </c>
      <c r="H201" s="130" t="s">
        <v>1058</v>
      </c>
      <c r="I201" s="138">
        <f t="shared" ref="I201:J201" si="205">IFS(AND($B201&lt;&gt;"",$E201&lt;&gt;""),IF(INDEX(N:N,MATCH($C201,$P:$P,0),1)&lt;&gt;"",$E201*INDEX(N:N,MATCH($C201,$P:$P,0),1)+$G201,""),AND($B201&lt;&gt;"",$D201="COST",$G201&lt;0),$G201,TRUE,)</f>
        <v>-203.984</v>
      </c>
      <c r="J201" s="138">
        <f t="shared" si="205"/>
        <v>-6.18251875</v>
      </c>
      <c r="K201" s="266" t="str">
        <f t="shared" si="3"/>
        <v>iShares Treasury Bond 20+ UCITS USD Dist</v>
      </c>
      <c r="L201" s="156">
        <f t="shared" si="4"/>
        <v>0</v>
      </c>
      <c r="M201" s="156">
        <f t="shared" si="5"/>
        <v>27424.23</v>
      </c>
      <c r="N201" s="155" t="str">
        <f>IF($P201&lt;&gt;"",IF(MAXIFS(Investment!$M:$M,Investment!$H:$H,LEFT($P201,30)&amp;"*"),MAXIFS(Investment!$M:$M,Investment!$H:$H,LEFT($P201,30)&amp;"*"),),)</f>
        <v/>
      </c>
      <c r="O201" s="158" t="str">
        <f>IF($P201&lt;&gt;"",IF(MAXIFS(Investment!$AH:$AH,Investment!$H:$H,LEFT($P201,30)&amp;"*"),MAXIFS(Investment!$AH:$AH,Investment!$H:$H,LEFT($P201,30)&amp;"*"),),)</f>
        <v/>
      </c>
      <c r="P201" s="141"/>
      <c r="Q201" s="145"/>
      <c r="R201" s="138"/>
    </row>
    <row r="202">
      <c r="A202" s="122">
        <v>43454.0</v>
      </c>
      <c r="B202" s="55" t="s">
        <v>268</v>
      </c>
      <c r="C202" s="55" t="s">
        <v>673</v>
      </c>
      <c r="D202" s="55" t="s">
        <v>378</v>
      </c>
      <c r="E202" s="50"/>
      <c r="F202" s="264"/>
      <c r="G202" s="128">
        <v>-3.41</v>
      </c>
      <c r="H202" s="130" t="s">
        <v>1061</v>
      </c>
      <c r="I202" s="138">
        <f t="shared" ref="I202:J202" si="206">IFS(AND($B202&lt;&gt;"",$E202&lt;&gt;""),IF(INDEX(N:N,MATCH($C202,$P:$P,0),1)&lt;&gt;"",$E202*INDEX(N:N,MATCH($C202,$P:$P,0),1)+$G202,""),AND($B202&lt;&gt;"",$D202="COST",$G202&lt;0),$G202,TRUE,)</f>
        <v>-3.41</v>
      </c>
      <c r="J202" s="138">
        <f t="shared" si="206"/>
        <v>-3.41</v>
      </c>
      <c r="K202" s="266" t="str">
        <f t="shared" si="3"/>
        <v>iShares Treasury Bond 20+ UCITS USD Dist</v>
      </c>
      <c r="L202" s="156">
        <f t="shared" si="4"/>
        <v>0</v>
      </c>
      <c r="M202" s="156">
        <f t="shared" si="5"/>
        <v>27424.23</v>
      </c>
      <c r="N202" s="155" t="str">
        <f>IF($P202&lt;&gt;"",IF(MAXIFS(Investment!$M:$M,Investment!$H:$H,LEFT($P202,30)&amp;"*"),MAXIFS(Investment!$M:$M,Investment!$H:$H,LEFT($P202,30)&amp;"*"),),)</f>
        <v/>
      </c>
      <c r="O202" s="158" t="str">
        <f>IF($P202&lt;&gt;"",IF(MAXIFS(Investment!$AH:$AH,Investment!$H:$H,LEFT($P202,30)&amp;"*"),MAXIFS(Investment!$AH:$AH,Investment!$H:$H,LEFT($P202,30)&amp;"*"),),)</f>
        <v/>
      </c>
      <c r="P202" s="141"/>
      <c r="Q202" s="145"/>
      <c r="R202" s="138"/>
    </row>
    <row r="203">
      <c r="A203" s="122">
        <v>43454.0</v>
      </c>
      <c r="B203" s="55" t="s">
        <v>268</v>
      </c>
      <c r="C203" s="55" t="s">
        <v>673</v>
      </c>
      <c r="D203" s="55" t="s">
        <v>319</v>
      </c>
      <c r="E203" s="50">
        <v>-1760.0</v>
      </c>
      <c r="F203" s="264">
        <v>3.985</v>
      </c>
      <c r="G203" s="128">
        <v>7013.08</v>
      </c>
      <c r="H203" s="130" t="s">
        <v>1063</v>
      </c>
      <c r="I203" s="138">
        <f t="shared" ref="I203:J203" si="207">IFS(AND($B203&lt;&gt;"",$E203&lt;&gt;""),IF(INDEX(N:N,MATCH($C203,$P:$P,0),1)&lt;&gt;"",$E203*INDEX(N:N,MATCH($C203,$P:$P,0),1)+$G203,""),AND($B203&lt;&gt;"",$D203="COST",$G203&lt;0),$G203,TRUE,)</f>
        <v>-635.88</v>
      </c>
      <c r="J203" s="138">
        <f t="shared" si="207"/>
        <v>4.06596875</v>
      </c>
      <c r="K203" s="266" t="str">
        <f t="shared" si="3"/>
        <v>iShares Treasury Bond 20+ UCITS USD Dist</v>
      </c>
      <c r="L203" s="156">
        <f t="shared" si="4"/>
        <v>0</v>
      </c>
      <c r="M203" s="156">
        <f t="shared" si="5"/>
        <v>27424.23</v>
      </c>
      <c r="N203" s="155" t="str">
        <f>IF($P203&lt;&gt;"",IF(MAXIFS(Investment!$M:$M,Investment!$H:$H,LEFT($P203,30)&amp;"*"),MAXIFS(Investment!$M:$M,Investment!$H:$H,LEFT($P203,30)&amp;"*"),),)</f>
        <v/>
      </c>
      <c r="O203" s="158" t="str">
        <f>IF($P203&lt;&gt;"",IF(MAXIFS(Investment!$AH:$AH,Investment!$H:$H,LEFT($P203,30)&amp;"*"),MAXIFS(Investment!$AH:$AH,Investment!$H:$H,LEFT($P203,30)&amp;"*"),),)</f>
        <v/>
      </c>
      <c r="P203" s="141"/>
      <c r="Q203" s="145"/>
      <c r="R203" s="138"/>
    </row>
    <row r="204">
      <c r="A204" s="122">
        <v>43453.0</v>
      </c>
      <c r="B204" s="55" t="s">
        <v>268</v>
      </c>
      <c r="C204" s="55" t="s">
        <v>673</v>
      </c>
      <c r="D204" s="55" t="s">
        <v>378</v>
      </c>
      <c r="E204" s="55"/>
      <c r="F204" s="264"/>
      <c r="G204" s="128">
        <v>-2.92</v>
      </c>
      <c r="H204" s="130" t="s">
        <v>1064</v>
      </c>
      <c r="I204" s="138">
        <f t="shared" ref="I204:J204" si="208">IFS(AND($B204&lt;&gt;"",$E204&lt;&gt;""),IF(INDEX(N:N,MATCH($C204,$P:$P,0),1)&lt;&gt;"",$E204*INDEX(N:N,MATCH($C204,$P:$P,0),1)+$G204,""),AND($B204&lt;&gt;"",$D204="COST",$G204&lt;0),$G204,TRUE,)</f>
        <v>-2.92</v>
      </c>
      <c r="J204" s="138">
        <f t="shared" si="208"/>
        <v>-2.92</v>
      </c>
      <c r="K204" s="266" t="str">
        <f t="shared" si="3"/>
        <v>iShares Treasury Bond 20+ UCITS USD Dist</v>
      </c>
      <c r="L204" s="156">
        <f t="shared" si="4"/>
        <v>0</v>
      </c>
      <c r="M204" s="156">
        <f t="shared" si="5"/>
        <v>27424.23</v>
      </c>
      <c r="N204" s="155" t="str">
        <f>IF($P204&lt;&gt;"",IF(MAXIFS(Investment!$M:$M,Investment!$H:$H,LEFT($P204,30)&amp;"*"),MAXIFS(Investment!$M:$M,Investment!$H:$H,LEFT($P204,30)&amp;"*"),),)</f>
        <v/>
      </c>
      <c r="O204" s="158" t="str">
        <f>IF($P204&lt;&gt;"",IF(MAXIFS(Investment!$AH:$AH,Investment!$H:$H,LEFT($P204,30)&amp;"*"),MAXIFS(Investment!$AH:$AH,Investment!$H:$H,LEFT($P204,30)&amp;"*"),),)</f>
        <v/>
      </c>
      <c r="P204" s="141"/>
      <c r="Q204" s="145"/>
      <c r="R204" s="138"/>
    </row>
    <row r="205">
      <c r="A205" s="122">
        <v>43453.0</v>
      </c>
      <c r="B205" s="55" t="s">
        <v>268</v>
      </c>
      <c r="C205" s="55" t="s">
        <v>673</v>
      </c>
      <c r="D205" s="55" t="s">
        <v>319</v>
      </c>
      <c r="E205" s="50">
        <v>-1177.0</v>
      </c>
      <c r="F205" s="264">
        <v>3.919</v>
      </c>
      <c r="G205" s="128">
        <v>4613.0</v>
      </c>
      <c r="H205" s="130" t="s">
        <v>1065</v>
      </c>
      <c r="I205" s="138">
        <f t="shared" ref="I205:J205" si="209">IFS(AND($B205&lt;&gt;"",$E205&lt;&gt;""),IF(INDEX(N:N,MATCH($C205,$P:$P,0),1)&lt;&gt;"",$E205*INDEX(N:N,MATCH($C205,$P:$P,0),1)+$G205,""),AND($B205&lt;&gt;"",$D205="COST",$G205&lt;0),$G205,TRUE,)</f>
        <v>-502.242</v>
      </c>
      <c r="J205" s="138">
        <f t="shared" si="209"/>
        <v>-74.2781334</v>
      </c>
      <c r="K205" s="266" t="str">
        <f t="shared" si="3"/>
        <v>iShares Treasury Bond 20+ UCITS USD Dist</v>
      </c>
      <c r="L205" s="156">
        <f t="shared" si="4"/>
        <v>0</v>
      </c>
      <c r="M205" s="156">
        <f t="shared" si="5"/>
        <v>27424.23</v>
      </c>
      <c r="N205" s="155" t="str">
        <f>IF($P205&lt;&gt;"",IF(MAXIFS(Investment!$M:$M,Investment!$H:$H,LEFT($P205,30)&amp;"*"),MAXIFS(Investment!$M:$M,Investment!$H:$H,LEFT($P205,30)&amp;"*"),),)</f>
        <v/>
      </c>
      <c r="O205" s="158" t="str">
        <f>IF($P205&lt;&gt;"",IF(MAXIFS(Investment!$AH:$AH,Investment!$H:$H,LEFT($P205,30)&amp;"*"),MAXIFS(Investment!$AH:$AH,Investment!$H:$H,LEFT($P205,30)&amp;"*"),),)</f>
        <v/>
      </c>
      <c r="P205" s="141"/>
      <c r="Q205" s="145"/>
      <c r="R205" s="138"/>
    </row>
    <row r="206">
      <c r="A206" s="122">
        <v>43452.0</v>
      </c>
      <c r="B206" s="55" t="s">
        <v>364</v>
      </c>
      <c r="C206" s="55" t="s">
        <v>366</v>
      </c>
      <c r="D206" s="55" t="s">
        <v>319</v>
      </c>
      <c r="E206" s="55">
        <v>-15.0</v>
      </c>
      <c r="F206" s="264">
        <v>166.3</v>
      </c>
      <c r="G206" s="128">
        <v>2494.5</v>
      </c>
      <c r="H206" s="130" t="s">
        <v>1068</v>
      </c>
      <c r="I206" s="138">
        <f t="shared" ref="I206:J206" si="210">IFS(AND($B206&lt;&gt;"",$E206&lt;&gt;""),IF(INDEX(N:N,MATCH($C206,$P:$P,0),1)&lt;&gt;"",$E206*INDEX(N:N,MATCH($C206,$P:$P,0),1)+$G206,""),AND($B206&lt;&gt;"",$D206="COST",$G206&lt;0),$G206,TRUE,)</f>
        <v>-168</v>
      </c>
      <c r="J206" s="138">
        <f t="shared" si="210"/>
        <v>-21.97558594</v>
      </c>
      <c r="K206" s="266" t="str">
        <f t="shared" si="3"/>
        <v>iShares Treasury Bond 7-10 UCITS</v>
      </c>
      <c r="L206" s="156">
        <f t="shared" si="4"/>
        <v>597</v>
      </c>
      <c r="M206" s="156">
        <f t="shared" si="5"/>
        <v>-91106.6</v>
      </c>
      <c r="N206" s="155" t="str">
        <f>IF($P206&lt;&gt;"",IF(MAXIFS(Investment!$M:$M,Investment!$H:$H,LEFT($P206,30)&amp;"*"),MAXIFS(Investment!$M:$M,Investment!$H:$H,LEFT($P206,30)&amp;"*"),),)</f>
        <v/>
      </c>
      <c r="O206" s="158" t="str">
        <f>IF($P206&lt;&gt;"",IF(MAXIFS(Investment!$AH:$AH,Investment!$H:$H,LEFT($P206,30)&amp;"*"),MAXIFS(Investment!$AH:$AH,Investment!$H:$H,LEFT($P206,30)&amp;"*"),),)</f>
        <v/>
      </c>
      <c r="P206" s="141"/>
      <c r="Q206" s="145"/>
      <c r="R206" s="138"/>
    </row>
    <row r="207">
      <c r="A207" s="122">
        <v>43452.0</v>
      </c>
      <c r="B207" s="55" t="s">
        <v>317</v>
      </c>
      <c r="C207" s="55" t="s">
        <v>318</v>
      </c>
      <c r="D207" s="55" t="s">
        <v>319</v>
      </c>
      <c r="E207" s="55">
        <v>-10.0</v>
      </c>
      <c r="F207" s="264">
        <v>104.83</v>
      </c>
      <c r="G207" s="128">
        <v>1048.3</v>
      </c>
      <c r="H207" s="130" t="s">
        <v>1069</v>
      </c>
      <c r="I207" s="138">
        <f t="shared" ref="I207:J207" si="211">IFS(AND($B207&lt;&gt;"",$E207&lt;&gt;""),IF(INDEX(N:N,MATCH($C207,$P:$P,0),1)&lt;&gt;"",$E207*INDEX(N:N,MATCH($C207,$P:$P,0),1)+$G207,""),AND($B207&lt;&gt;"",$D207="COST",$G207&lt;0),$G207,TRUE,)</f>
        <v>-132.7</v>
      </c>
      <c r="J207" s="138">
        <f t="shared" si="211"/>
        <v>-8.73046875</v>
      </c>
      <c r="K207" s="266" t="str">
        <f t="shared" si="3"/>
        <v>ETFS Physical Gold</v>
      </c>
      <c r="L207" s="156">
        <f t="shared" si="4"/>
        <v>443</v>
      </c>
      <c r="M207" s="156">
        <f t="shared" si="5"/>
        <v>-44918.1</v>
      </c>
      <c r="N207" s="155" t="str">
        <f>IF($P207&lt;&gt;"",IF(MAXIFS(Investment!$M:$M,Investment!$H:$H,LEFT($P207,30)&amp;"*"),MAXIFS(Investment!$M:$M,Investment!$H:$H,LEFT($P207,30)&amp;"*"),),)</f>
        <v/>
      </c>
      <c r="O207" s="158" t="str">
        <f>IF($P207&lt;&gt;"",IF(MAXIFS(Investment!$AH:$AH,Investment!$H:$H,LEFT($P207,30)&amp;"*"),MAXIFS(Investment!$AH:$AH,Investment!$H:$H,LEFT($P207,30)&amp;"*"),),)</f>
        <v/>
      </c>
      <c r="P207" s="141"/>
      <c r="Q207" s="145"/>
      <c r="R207" s="138"/>
    </row>
    <row r="208">
      <c r="A208" s="122">
        <v>43451.0</v>
      </c>
      <c r="B208" s="124" t="s">
        <v>343</v>
      </c>
      <c r="C208" s="130" t="s">
        <v>344</v>
      </c>
      <c r="D208" s="298" t="s">
        <v>330</v>
      </c>
      <c r="E208" s="298">
        <v>48.0</v>
      </c>
      <c r="F208" s="264">
        <v>43.36</v>
      </c>
      <c r="G208" s="128">
        <v>-2081.28</v>
      </c>
      <c r="H208" s="130" t="s">
        <v>1072</v>
      </c>
      <c r="I208" s="138">
        <f t="shared" ref="I208:J208" si="212">IFS(AND($B208&lt;&gt;"",$E208&lt;&gt;""),IF(INDEX(N:N,MATCH($C208,$P:$P,0),1)&lt;&gt;"",$E208*INDEX(N:N,MATCH($C208,$P:$P,0),1)+$G208,""),AND($B208&lt;&gt;"",$D208="COST",$G208&lt;0),$G208,TRUE,)</f>
        <v>256.368</v>
      </c>
      <c r="J208" s="138">
        <f t="shared" si="212"/>
        <v>146.3625</v>
      </c>
      <c r="K208" s="266" t="str">
        <f t="shared" si="3"/>
        <v>Vanguard S&amp;P 500 UCITS</v>
      </c>
      <c r="L208" s="156">
        <f t="shared" si="4"/>
        <v>4293</v>
      </c>
      <c r="M208" s="156">
        <f t="shared" si="5"/>
        <v>-183260.93</v>
      </c>
      <c r="N208" s="155" t="str">
        <f>IF($P208&lt;&gt;"",IF(MAXIFS(Investment!$M:$M,Investment!$H:$H,LEFT($P208,30)&amp;"*"),MAXIFS(Investment!$M:$M,Investment!$H:$H,LEFT($P208,30)&amp;"*"),),)</f>
        <v/>
      </c>
      <c r="O208" s="158" t="str">
        <f>IF($P208&lt;&gt;"",IF(MAXIFS(Investment!$AH:$AH,Investment!$H:$H,LEFT($P208,30)&amp;"*"),MAXIFS(Investment!$AH:$AH,Investment!$H:$H,LEFT($P208,30)&amp;"*"),),)</f>
        <v/>
      </c>
      <c r="P208" s="141"/>
      <c r="Q208" s="145"/>
      <c r="R208" s="138"/>
    </row>
    <row r="209">
      <c r="A209" s="122">
        <v>43451.0</v>
      </c>
      <c r="B209" s="124" t="s">
        <v>343</v>
      </c>
      <c r="C209" s="130" t="s">
        <v>344</v>
      </c>
      <c r="D209" s="298" t="s">
        <v>378</v>
      </c>
      <c r="E209" s="298"/>
      <c r="F209" s="264"/>
      <c r="G209" s="128">
        <v>-2.42</v>
      </c>
      <c r="H209" s="130" t="s">
        <v>1073</v>
      </c>
      <c r="I209" s="138">
        <f t="shared" ref="I209:J209" si="213">IFS(AND($B209&lt;&gt;"",$E209&lt;&gt;""),IF(INDEX(N:N,MATCH($C209,$P:$P,0),1)&lt;&gt;"",$E209*INDEX(N:N,MATCH($C209,$P:$P,0),1)+$G209,""),AND($B209&lt;&gt;"",$D209="COST",$G209&lt;0),$G209,TRUE,)</f>
        <v>-2.42</v>
      </c>
      <c r="J209" s="138">
        <f t="shared" si="213"/>
        <v>-2.42</v>
      </c>
      <c r="K209" s="266" t="str">
        <f t="shared" si="3"/>
        <v>Vanguard S&amp;P 500 UCITS</v>
      </c>
      <c r="L209" s="156">
        <f t="shared" si="4"/>
        <v>4293</v>
      </c>
      <c r="M209" s="156">
        <f t="shared" si="5"/>
        <v>-183260.93</v>
      </c>
      <c r="N209" s="155" t="str">
        <f>IF($P209&lt;&gt;"",IF(MAXIFS(Investment!$M:$M,Investment!$H:$H,LEFT($P209,30)&amp;"*"),MAXIFS(Investment!$M:$M,Investment!$H:$H,LEFT($P209,30)&amp;"*"),),)</f>
        <v/>
      </c>
      <c r="O209" s="158" t="str">
        <f>IF($P209&lt;&gt;"",IF(MAXIFS(Investment!$AH:$AH,Investment!$H:$H,LEFT($P209,30)&amp;"*"),MAXIFS(Investment!$AH:$AH,Investment!$H:$H,LEFT($P209,30)&amp;"*"),),)</f>
        <v/>
      </c>
      <c r="P209" s="141"/>
      <c r="Q209" s="145"/>
      <c r="R209" s="138"/>
    </row>
    <row r="210">
      <c r="A210" s="122">
        <v>43451.0</v>
      </c>
      <c r="B210" s="124" t="s">
        <v>343</v>
      </c>
      <c r="C210" s="130" t="s">
        <v>344</v>
      </c>
      <c r="D210" s="298" t="s">
        <v>330</v>
      </c>
      <c r="E210" s="298">
        <v>60.0</v>
      </c>
      <c r="F210" s="264">
        <v>43.37</v>
      </c>
      <c r="G210" s="128">
        <v>-2602.2</v>
      </c>
      <c r="H210" s="130" t="s">
        <v>1080</v>
      </c>
      <c r="I210" s="138">
        <f t="shared" ref="I210:J210" si="214">IFS(AND($B210&lt;&gt;"",$E210&lt;&gt;""),IF(INDEX(N:N,MATCH($C210,$P:$P,0),1)&lt;&gt;"",$E210*INDEX(N:N,MATCH($C210,$P:$P,0),1)+$G210,""),AND($B210&lt;&gt;"",$D210="COST",$G210&lt;0),$G210,TRUE,)</f>
        <v>319.86</v>
      </c>
      <c r="J210" s="138">
        <f t="shared" si="214"/>
        <v>182.353125</v>
      </c>
      <c r="K210" s="266" t="str">
        <f t="shared" si="3"/>
        <v>Vanguard S&amp;P 500 UCITS</v>
      </c>
      <c r="L210" s="156">
        <f t="shared" si="4"/>
        <v>4293</v>
      </c>
      <c r="M210" s="156">
        <f t="shared" si="5"/>
        <v>-183260.93</v>
      </c>
      <c r="N210" s="155" t="str">
        <f>IF($P210&lt;&gt;"",IF(MAXIFS(Investment!$M:$M,Investment!$H:$H,LEFT($P210,30)&amp;"*"),MAXIFS(Investment!$M:$M,Investment!$H:$H,LEFT($P210,30)&amp;"*"),),)</f>
        <v/>
      </c>
      <c r="O210" s="158" t="str">
        <f>IF($P210&lt;&gt;"",IF(MAXIFS(Investment!$AH:$AH,Investment!$H:$H,LEFT($P210,30)&amp;"*"),MAXIFS(Investment!$AH:$AH,Investment!$H:$H,LEFT($P210,30)&amp;"*"),),)</f>
        <v/>
      </c>
      <c r="P210" s="141"/>
      <c r="Q210" s="145"/>
      <c r="R210" s="138"/>
    </row>
    <row r="211">
      <c r="A211" s="122">
        <v>43451.0</v>
      </c>
      <c r="B211" s="124" t="s">
        <v>343</v>
      </c>
      <c r="C211" s="130" t="s">
        <v>344</v>
      </c>
      <c r="D211" s="298" t="s">
        <v>378</v>
      </c>
      <c r="E211" s="298"/>
      <c r="F211" s="264"/>
      <c r="G211" s="128">
        <v>-2.52</v>
      </c>
      <c r="H211" s="130" t="s">
        <v>1081</v>
      </c>
      <c r="I211" s="138">
        <f t="shared" ref="I211:J211" si="215">IFS(AND($B211&lt;&gt;"",$E211&lt;&gt;""),IF(INDEX(N:N,MATCH($C211,$P:$P,0),1)&lt;&gt;"",$E211*INDEX(N:N,MATCH($C211,$P:$P,0),1)+$G211,""),AND($B211&lt;&gt;"",$D211="COST",$G211&lt;0),$G211,TRUE,)</f>
        <v>-2.52</v>
      </c>
      <c r="J211" s="138">
        <f t="shared" si="215"/>
        <v>-2.52</v>
      </c>
      <c r="K211" s="266" t="str">
        <f t="shared" si="3"/>
        <v>Vanguard S&amp;P 500 UCITS</v>
      </c>
      <c r="L211" s="156">
        <f t="shared" si="4"/>
        <v>4293</v>
      </c>
      <c r="M211" s="156">
        <f t="shared" si="5"/>
        <v>-183260.93</v>
      </c>
      <c r="N211" s="155" t="str">
        <f>IF($P211&lt;&gt;"",IF(MAXIFS(Investment!$M:$M,Investment!$H:$H,LEFT($P211,30)&amp;"*"),MAXIFS(Investment!$M:$M,Investment!$H:$H,LEFT($P211,30)&amp;"*"),),)</f>
        <v/>
      </c>
      <c r="O211" s="158" t="str">
        <f>IF($P211&lt;&gt;"",IF(MAXIFS(Investment!$AH:$AH,Investment!$H:$H,LEFT($P211,30)&amp;"*"),MAXIFS(Investment!$AH:$AH,Investment!$H:$H,LEFT($P211,30)&amp;"*"),),)</f>
        <v/>
      </c>
      <c r="P211" s="141"/>
      <c r="Q211" s="145"/>
      <c r="R211" s="138"/>
    </row>
    <row r="212">
      <c r="A212" s="122">
        <v>43451.0</v>
      </c>
      <c r="B212" s="124" t="s">
        <v>343</v>
      </c>
      <c r="C212" s="130" t="s">
        <v>344</v>
      </c>
      <c r="D212" s="298" t="s">
        <v>330</v>
      </c>
      <c r="E212" s="298">
        <v>88.0</v>
      </c>
      <c r="F212" s="264">
        <v>43.7</v>
      </c>
      <c r="G212" s="128">
        <v>-3845.6</v>
      </c>
      <c r="H212" s="130" t="s">
        <v>1088</v>
      </c>
      <c r="I212" s="138">
        <f t="shared" ref="I212:J212" si="216">IFS(AND($B212&lt;&gt;"",$E212&lt;&gt;""),IF(INDEX(N:N,MATCH($C212,$P:$P,0),1)&lt;&gt;"",$E212*INDEX(N:N,MATCH($C212,$P:$P,0),1)+$G212,""),AND($B212&lt;&gt;"",$D212="COST",$G212&lt;0),$G212,TRUE,)</f>
        <v>440.088</v>
      </c>
      <c r="J212" s="138">
        <f t="shared" si="216"/>
        <v>238.41125</v>
      </c>
      <c r="K212" s="266" t="str">
        <f t="shared" si="3"/>
        <v>Vanguard S&amp;P 500 UCITS</v>
      </c>
      <c r="L212" s="156">
        <f t="shared" si="4"/>
        <v>4293</v>
      </c>
      <c r="M212" s="156">
        <f t="shared" si="5"/>
        <v>-183260.93</v>
      </c>
      <c r="N212" s="155" t="str">
        <f>IF($P212&lt;&gt;"",IF(MAXIFS(Investment!$M:$M,Investment!$H:$H,LEFT($P212,30)&amp;"*"),MAXIFS(Investment!$M:$M,Investment!$H:$H,LEFT($P212,30)&amp;"*"),),)</f>
        <v/>
      </c>
      <c r="O212" s="158" t="str">
        <f>IF($P212&lt;&gt;"",IF(MAXIFS(Investment!$AH:$AH,Investment!$H:$H,LEFT($P212,30)&amp;"*"),MAXIFS(Investment!$AH:$AH,Investment!$H:$H,LEFT($P212,30)&amp;"*"),),)</f>
        <v/>
      </c>
      <c r="P212" s="141"/>
      <c r="Q212" s="145"/>
      <c r="R212" s="138"/>
    </row>
    <row r="213">
      <c r="A213" s="122">
        <v>43451.0</v>
      </c>
      <c r="B213" s="124" t="s">
        <v>343</v>
      </c>
      <c r="C213" s="130" t="s">
        <v>344</v>
      </c>
      <c r="D213" s="298" t="s">
        <v>378</v>
      </c>
      <c r="E213" s="298"/>
      <c r="F213" s="264"/>
      <c r="G213" s="128">
        <v>-2.77</v>
      </c>
      <c r="H213" s="130" t="s">
        <v>1089</v>
      </c>
      <c r="I213" s="138">
        <f t="shared" ref="I213:J213" si="217">IFS(AND($B213&lt;&gt;"",$E213&lt;&gt;""),IF(INDEX(N:N,MATCH($C213,$P:$P,0),1)&lt;&gt;"",$E213*INDEX(N:N,MATCH($C213,$P:$P,0),1)+$G213,""),AND($B213&lt;&gt;"",$D213="COST",$G213&lt;0),$G213,TRUE,)</f>
        <v>-2.77</v>
      </c>
      <c r="J213" s="138">
        <f t="shared" si="217"/>
        <v>-2.77</v>
      </c>
      <c r="K213" s="266" t="str">
        <f t="shared" si="3"/>
        <v>Vanguard S&amp;P 500 UCITS</v>
      </c>
      <c r="L213" s="156">
        <f t="shared" si="4"/>
        <v>4293</v>
      </c>
      <c r="M213" s="156">
        <f t="shared" si="5"/>
        <v>-183260.93</v>
      </c>
      <c r="N213" s="155" t="str">
        <f>IF($P213&lt;&gt;"",IF(MAXIFS(Investment!$M:$M,Investment!$H:$H,LEFT($P213,30)&amp;"*"),MAXIFS(Investment!$M:$M,Investment!$H:$H,LEFT($P213,30)&amp;"*"),),)</f>
        <v/>
      </c>
      <c r="O213" s="158" t="str">
        <f>IF($P213&lt;&gt;"",IF(MAXIFS(Investment!$AH:$AH,Investment!$H:$H,LEFT($P213,30)&amp;"*"),MAXIFS(Investment!$AH:$AH,Investment!$H:$H,LEFT($P213,30)&amp;"*"),),)</f>
        <v/>
      </c>
      <c r="P213" s="141"/>
      <c r="Q213" s="145"/>
      <c r="R213" s="138"/>
    </row>
    <row r="214">
      <c r="A214" s="122">
        <v>43448.0</v>
      </c>
      <c r="B214" s="124" t="s">
        <v>343</v>
      </c>
      <c r="C214" s="130" t="s">
        <v>344</v>
      </c>
      <c r="D214" s="298" t="s">
        <v>319</v>
      </c>
      <c r="E214" s="298">
        <v>-190.0</v>
      </c>
      <c r="F214" s="264">
        <v>44.39</v>
      </c>
      <c r="G214" s="128">
        <v>8434.1</v>
      </c>
      <c r="H214" s="130" t="s">
        <v>1095</v>
      </c>
      <c r="I214" s="138">
        <f t="shared" ref="I214:J214" si="218">IFS(AND($B214&lt;&gt;"",$E214&lt;&gt;""),IF(INDEX(N:N,MATCH($C214,$P:$P,0),1)&lt;&gt;"",$E214*INDEX(N:N,MATCH($C214,$P:$P,0),1)+$G214,""),AND($B214&lt;&gt;"",$D214="COST",$G214&lt;0),$G214,TRUE,)</f>
        <v>-819.09</v>
      </c>
      <c r="J214" s="138">
        <f t="shared" si="218"/>
        <v>-383.6515625</v>
      </c>
      <c r="K214" s="266" t="str">
        <f t="shared" si="3"/>
        <v>Vanguard S&amp;P 500 UCITS</v>
      </c>
      <c r="L214" s="156">
        <f t="shared" si="4"/>
        <v>4293</v>
      </c>
      <c r="M214" s="156">
        <f t="shared" si="5"/>
        <v>-183260.93</v>
      </c>
      <c r="N214" s="155" t="str">
        <f>IF($P214&lt;&gt;"",IF(MAXIFS(Investment!$M:$M,Investment!$H:$H,LEFT($P214,30)&amp;"*"),MAXIFS(Investment!$M:$M,Investment!$H:$H,LEFT($P214,30)&amp;"*"),),)</f>
        <v/>
      </c>
      <c r="O214" s="158" t="str">
        <f>IF($P214&lt;&gt;"",IF(MAXIFS(Investment!$AH:$AH,Investment!$H:$H,LEFT($P214,30)&amp;"*"),MAXIFS(Investment!$AH:$AH,Investment!$H:$H,LEFT($P214,30)&amp;"*"),),)</f>
        <v/>
      </c>
      <c r="P214" s="141"/>
      <c r="Q214" s="145"/>
      <c r="R214" s="138"/>
    </row>
    <row r="215">
      <c r="A215" s="122">
        <v>43448.0</v>
      </c>
      <c r="B215" s="124" t="s">
        <v>343</v>
      </c>
      <c r="C215" s="130" t="s">
        <v>344</v>
      </c>
      <c r="D215" s="298" t="s">
        <v>378</v>
      </c>
      <c r="E215" s="298"/>
      <c r="F215" s="264"/>
      <c r="G215" s="128">
        <v>-3.69</v>
      </c>
      <c r="H215" s="130" t="s">
        <v>1096</v>
      </c>
      <c r="I215" s="138">
        <f t="shared" ref="I215:J215" si="219">IFS(AND($B215&lt;&gt;"",$E215&lt;&gt;""),IF(INDEX(N:N,MATCH($C215,$P:$P,0),1)&lt;&gt;"",$E215*INDEX(N:N,MATCH($C215,$P:$P,0),1)+$G215,""),AND($B215&lt;&gt;"",$D215="COST",$G215&lt;0),$G215,TRUE,)</f>
        <v>-3.69</v>
      </c>
      <c r="J215" s="138">
        <f t="shared" si="219"/>
        <v>-3.69</v>
      </c>
      <c r="K215" s="266" t="str">
        <f t="shared" si="3"/>
        <v>Vanguard S&amp;P 500 UCITS</v>
      </c>
      <c r="L215" s="156">
        <f t="shared" si="4"/>
        <v>4293</v>
      </c>
      <c r="M215" s="156">
        <f t="shared" si="5"/>
        <v>-183260.93</v>
      </c>
      <c r="N215" s="155" t="str">
        <f>IF($P215&lt;&gt;"",IF(MAXIFS(Investment!$M:$M,Investment!$H:$H,LEFT($P215,30)&amp;"*"),MAXIFS(Investment!$M:$M,Investment!$H:$H,LEFT($P215,30)&amp;"*"),),)</f>
        <v/>
      </c>
      <c r="O215" s="158" t="str">
        <f>IF($P215&lt;&gt;"",IF(MAXIFS(Investment!$AH:$AH,Investment!$H:$H,LEFT($P215,30)&amp;"*"),MAXIFS(Investment!$AH:$AH,Investment!$H:$H,LEFT($P215,30)&amp;"*"),),)</f>
        <v/>
      </c>
      <c r="P215" s="141"/>
      <c r="Q215" s="145"/>
      <c r="R215" s="138"/>
    </row>
    <row r="216">
      <c r="A216" s="122">
        <v>43441.0</v>
      </c>
      <c r="B216" s="124" t="s">
        <v>343</v>
      </c>
      <c r="C216" s="130" t="s">
        <v>344</v>
      </c>
      <c r="D216" s="298" t="s">
        <v>330</v>
      </c>
      <c r="E216" s="298">
        <v>91.0</v>
      </c>
      <c r="F216" s="264">
        <v>44.735</v>
      </c>
      <c r="G216" s="128">
        <v>-4070.88</v>
      </c>
      <c r="H216" s="130" t="s">
        <v>1101</v>
      </c>
      <c r="I216" s="138">
        <f t="shared" ref="I216:J216" si="220">IFS(AND($B216&lt;&gt;"",$E216&lt;&gt;""),IF(INDEX(N:N,MATCH($C216,$P:$P,0),1)&lt;&gt;"",$E216*INDEX(N:N,MATCH($C216,$P:$P,0),1)+$G216,""),AND($B216&lt;&gt;"",$D216="COST",$G216&lt;0),$G216,TRUE,)</f>
        <v>360.911</v>
      </c>
      <c r="J216" s="138">
        <f t="shared" si="220"/>
        <v>152.3589063</v>
      </c>
      <c r="K216" s="266" t="str">
        <f t="shared" si="3"/>
        <v>Vanguard S&amp;P 500 UCITS</v>
      </c>
      <c r="L216" s="156">
        <f t="shared" si="4"/>
        <v>4293</v>
      </c>
      <c r="M216" s="156">
        <f t="shared" si="5"/>
        <v>-183260.93</v>
      </c>
      <c r="N216" s="155" t="str">
        <f>IF($P216&lt;&gt;"",IF(MAXIFS(Investment!$M:$M,Investment!$H:$H,LEFT($P216,30)&amp;"*"),MAXIFS(Investment!$M:$M,Investment!$H:$H,LEFT($P216,30)&amp;"*"),),)</f>
        <v/>
      </c>
      <c r="O216" s="158" t="str">
        <f>IF($P216&lt;&gt;"",IF(MAXIFS(Investment!$AH:$AH,Investment!$H:$H,LEFT($P216,30)&amp;"*"),MAXIFS(Investment!$AH:$AH,Investment!$H:$H,LEFT($P216,30)&amp;"*"),),)</f>
        <v/>
      </c>
      <c r="P216" s="141"/>
      <c r="Q216" s="145"/>
      <c r="R216" s="138"/>
    </row>
    <row r="217">
      <c r="A217" s="122">
        <v>43441.0</v>
      </c>
      <c r="B217" s="124" t="s">
        <v>328</v>
      </c>
      <c r="C217" s="130" t="s">
        <v>329</v>
      </c>
      <c r="D217" s="298" t="s">
        <v>330</v>
      </c>
      <c r="E217" s="298">
        <v>255.0</v>
      </c>
      <c r="F217" s="264">
        <v>7.357</v>
      </c>
      <c r="G217" s="128">
        <v>-1876.04</v>
      </c>
      <c r="H217" s="130" t="s">
        <v>1102</v>
      </c>
      <c r="I217" s="138">
        <f t="shared" ref="I217:J217" si="221">IFS(AND($B217&lt;&gt;"",$E217&lt;&gt;""),IF(INDEX(N:N,MATCH($C217,$P:$P,0),1)&lt;&gt;"",$E217*INDEX(N:N,MATCH($C217,$P:$P,0),1)+$G217,""),AND($B217&lt;&gt;"",$D217="COST",$G217&lt;0),$G217,TRUE,)</f>
        <v>-39.53</v>
      </c>
      <c r="J217" s="138">
        <f t="shared" si="221"/>
        <v>-9.090371094</v>
      </c>
      <c r="K217" s="266" t="str">
        <f t="shared" si="3"/>
        <v>ETFS All Commodities ETC</v>
      </c>
      <c r="L217" s="156">
        <f t="shared" si="4"/>
        <v>11470</v>
      </c>
      <c r="M217" s="156">
        <f t="shared" si="5"/>
        <v>-83154.49</v>
      </c>
      <c r="N217" s="155" t="str">
        <f>IF($P217&lt;&gt;"",IF(MAXIFS(Investment!$M:$M,Investment!$H:$H,LEFT($P217,30)&amp;"*"),MAXIFS(Investment!$M:$M,Investment!$H:$H,LEFT($P217,30)&amp;"*"),),)</f>
        <v/>
      </c>
      <c r="O217" s="158" t="str">
        <f>IF($P217&lt;&gt;"",IF(MAXIFS(Investment!$AH:$AH,Investment!$H:$H,LEFT($P217,30)&amp;"*"),MAXIFS(Investment!$AH:$AH,Investment!$H:$H,LEFT($P217,30)&amp;"*"),),)</f>
        <v/>
      </c>
      <c r="P217" s="141"/>
      <c r="Q217" s="145"/>
      <c r="R217" s="138"/>
    </row>
    <row r="218">
      <c r="A218" s="122">
        <v>43440.0</v>
      </c>
      <c r="B218" s="124" t="s">
        <v>268</v>
      </c>
      <c r="C218" s="55" t="s">
        <v>673</v>
      </c>
      <c r="D218" s="298" t="s">
        <v>378</v>
      </c>
      <c r="E218" s="298"/>
      <c r="F218" s="264"/>
      <c r="G218" s="128">
        <v>-2.31</v>
      </c>
      <c r="H218" s="130" t="s">
        <v>1104</v>
      </c>
      <c r="I218" s="138">
        <f t="shared" ref="I218:J218" si="222">IFS(AND($B218&lt;&gt;"",$E218&lt;&gt;""),IF(INDEX(N:N,MATCH($C218,$P:$P,0),1)&lt;&gt;"",$E218*INDEX(N:N,MATCH($C218,$P:$P,0),1)+$G218,""),AND($B218&lt;&gt;"",$D218="COST",$G218&lt;0),$G218,TRUE,)</f>
        <v>-2.31</v>
      </c>
      <c r="J218" s="138">
        <f t="shared" si="222"/>
        <v>-2.31</v>
      </c>
      <c r="K218" s="266" t="str">
        <f t="shared" si="3"/>
        <v>iShares Treasury Bond 20+ UCITS USD Dist</v>
      </c>
      <c r="L218" s="156">
        <f t="shared" si="4"/>
        <v>0</v>
      </c>
      <c r="M218" s="156">
        <f t="shared" si="5"/>
        <v>27424.23</v>
      </c>
      <c r="N218" s="155" t="str">
        <f>IF($P218&lt;&gt;"",IF(MAXIFS(Investment!$M:$M,Investment!$H:$H,LEFT($P218,30)&amp;"*"),MAXIFS(Investment!$M:$M,Investment!$H:$H,LEFT($P218,30)&amp;"*"),),)</f>
        <v/>
      </c>
      <c r="O218" s="158" t="str">
        <f>IF($P218&lt;&gt;"",IF(MAXIFS(Investment!$AH:$AH,Investment!$H:$H,LEFT($P218,30)&amp;"*"),MAXIFS(Investment!$AH:$AH,Investment!$H:$H,LEFT($P218,30)&amp;"*"),),)</f>
        <v/>
      </c>
      <c r="P218" s="141"/>
      <c r="Q218" s="145"/>
      <c r="R218" s="138"/>
    </row>
    <row r="219">
      <c r="A219" s="122">
        <v>43440.0</v>
      </c>
      <c r="B219" s="124" t="s">
        <v>268</v>
      </c>
      <c r="C219" s="55" t="s">
        <v>673</v>
      </c>
      <c r="D219" s="298" t="s">
        <v>319</v>
      </c>
      <c r="E219" s="298">
        <v>-392.0</v>
      </c>
      <c r="F219" s="264">
        <v>3.935</v>
      </c>
      <c r="G219" s="128">
        <v>1542.58</v>
      </c>
      <c r="H219" s="130" t="s">
        <v>1108</v>
      </c>
      <c r="I219" s="138">
        <f t="shared" ref="I219:J219" si="223">IFS(AND($B219&lt;&gt;"",$E219&lt;&gt;""),IF(INDEX(N:N,MATCH($C219,$P:$P,0),1)&lt;&gt;"",$E219*INDEX(N:N,MATCH($C219,$P:$P,0),1)+$G219,""),AND($B219&lt;&gt;"",$D219="COST",$G219&lt;0),$G219,TRUE,)</f>
        <v>-161.052</v>
      </c>
      <c r="J219" s="138">
        <f t="shared" si="223"/>
        <v>-18.51857969</v>
      </c>
      <c r="K219" s="266" t="str">
        <f t="shared" si="3"/>
        <v>iShares Treasury Bond 20+ UCITS USD Dist</v>
      </c>
      <c r="L219" s="156">
        <f t="shared" si="4"/>
        <v>0</v>
      </c>
      <c r="M219" s="156">
        <f t="shared" si="5"/>
        <v>27424.23</v>
      </c>
      <c r="N219" s="155" t="str">
        <f>IF($P219&lt;&gt;"",IF(MAXIFS(Investment!$M:$M,Investment!$H:$H,LEFT($P219,30)&amp;"*"),MAXIFS(Investment!$M:$M,Investment!$H:$H,LEFT($P219,30)&amp;"*"),),)</f>
        <v/>
      </c>
      <c r="O219" s="158" t="str">
        <f>IF($P219&lt;&gt;"",IF(MAXIFS(Investment!$AH:$AH,Investment!$H:$H,LEFT($P219,30)&amp;"*"),MAXIFS(Investment!$AH:$AH,Investment!$H:$H,LEFT($P219,30)&amp;"*"),),)</f>
        <v/>
      </c>
      <c r="P219" s="141"/>
      <c r="Q219" s="145"/>
      <c r="R219" s="138"/>
    </row>
    <row r="220">
      <c r="A220" s="122">
        <v>43440.0</v>
      </c>
      <c r="B220" s="124" t="s">
        <v>343</v>
      </c>
      <c r="C220" s="130" t="s">
        <v>344</v>
      </c>
      <c r="D220" s="298" t="s">
        <v>330</v>
      </c>
      <c r="E220" s="298">
        <v>236.0</v>
      </c>
      <c r="F220" s="264">
        <v>44.578</v>
      </c>
      <c r="G220" s="128">
        <v>-10520.4</v>
      </c>
      <c r="H220" s="130" t="s">
        <v>1109</v>
      </c>
      <c r="I220" s="138">
        <f t="shared" ref="I220:J220" si="224">IFS(AND($B220&lt;&gt;"",$E220&lt;&gt;""),IF(INDEX(N:N,MATCH($C220,$P:$P,0),1)&lt;&gt;"",$E220*INDEX(N:N,MATCH($C220,$P:$P,0),1)+$G220,""),AND($B220&lt;&gt;"",$D220="COST",$G220&lt;0),$G220,TRUE,)</f>
        <v>973.036</v>
      </c>
      <c r="J220" s="138">
        <f t="shared" si="224"/>
        <v>432.175625</v>
      </c>
      <c r="K220" s="266" t="str">
        <f t="shared" si="3"/>
        <v>Vanguard S&amp;P 500 UCITS</v>
      </c>
      <c r="L220" s="156">
        <f t="shared" si="4"/>
        <v>4293</v>
      </c>
      <c r="M220" s="156">
        <f t="shared" si="5"/>
        <v>-183260.93</v>
      </c>
      <c r="N220" s="155" t="str">
        <f>IF($P220&lt;&gt;"",IF(MAXIFS(Investment!$M:$M,Investment!$H:$H,LEFT($P220,30)&amp;"*"),MAXIFS(Investment!$M:$M,Investment!$H:$H,LEFT($P220,30)&amp;"*"),),)</f>
        <v/>
      </c>
      <c r="O220" s="158" t="str">
        <f>IF($P220&lt;&gt;"",IF(MAXIFS(Investment!$AH:$AH,Investment!$H:$H,LEFT($P220,30)&amp;"*"),MAXIFS(Investment!$AH:$AH,Investment!$H:$H,LEFT($P220,30)&amp;"*"),),)</f>
        <v/>
      </c>
      <c r="P220" s="141"/>
      <c r="Q220" s="145"/>
      <c r="R220" s="138"/>
    </row>
    <row r="221">
      <c r="A221" s="122">
        <v>43438.0</v>
      </c>
      <c r="B221" s="124"/>
      <c r="C221" s="130"/>
      <c r="D221" s="298" t="s">
        <v>312</v>
      </c>
      <c r="E221" s="298"/>
      <c r="F221" s="264"/>
      <c r="G221" s="128">
        <v>-1500.0</v>
      </c>
      <c r="H221" s="130" t="s">
        <v>1012</v>
      </c>
      <c r="I221" s="138" t="str">
        <f t="shared" ref="I221:J221" si="225">IFS(AND($B221&lt;&gt;"",$E221&lt;&gt;""),IF(INDEX(N:N,MATCH($C221,$P:$P,0),1)&lt;&gt;"",$E221*INDEX(N:N,MATCH($C221,$P:$P,0),1)+$G221,""),AND($B221&lt;&gt;"",$D221="COST",$G221&lt;0),$G221,TRUE,)</f>
        <v/>
      </c>
      <c r="J221" s="138" t="str">
        <f t="shared" si="225"/>
        <v/>
      </c>
      <c r="K221" s="266" t="str">
        <f t="shared" si="3"/>
        <v/>
      </c>
      <c r="L221" s="156" t="str">
        <f t="shared" si="4"/>
        <v/>
      </c>
      <c r="M221" s="156" t="str">
        <f t="shared" si="5"/>
        <v/>
      </c>
      <c r="N221" s="155" t="str">
        <f>IF($P221&lt;&gt;"",IF(MAXIFS(Investment!$M:$M,Investment!$H:$H,LEFT($P221,30)&amp;"*"),MAXIFS(Investment!$M:$M,Investment!$H:$H,LEFT($P221,30)&amp;"*"),),)</f>
        <v/>
      </c>
      <c r="O221" s="158" t="str">
        <f>IF($P221&lt;&gt;"",IF(MAXIFS(Investment!$AH:$AH,Investment!$H:$H,LEFT($P221,30)&amp;"*"),MAXIFS(Investment!$AH:$AH,Investment!$H:$H,LEFT($P221,30)&amp;"*"),),)</f>
        <v/>
      </c>
      <c r="P221" s="141"/>
      <c r="Q221" s="145"/>
      <c r="R221" s="138"/>
    </row>
    <row r="222">
      <c r="A222" s="122">
        <v>43438.0</v>
      </c>
      <c r="B222" s="124"/>
      <c r="C222" s="130"/>
      <c r="D222" s="298" t="s">
        <v>378</v>
      </c>
      <c r="E222" s="298"/>
      <c r="F222" s="264"/>
      <c r="G222" s="128">
        <v>-579.07</v>
      </c>
      <c r="H222" s="130" t="s">
        <v>1111</v>
      </c>
      <c r="I222" s="138" t="str">
        <f t="shared" ref="I222:J222" si="226">IFS(AND($B222&lt;&gt;"",$E222&lt;&gt;""),IF(INDEX(N:N,MATCH($C222,$P:$P,0),1)&lt;&gt;"",$E222*INDEX(N:N,MATCH($C222,$P:$P,0),1)+$G222,""),AND($B222&lt;&gt;"",$D222="COST",$G222&lt;0),$G222,TRUE,)</f>
        <v/>
      </c>
      <c r="J222" s="138" t="str">
        <f t="shared" si="226"/>
        <v/>
      </c>
      <c r="K222" s="266" t="str">
        <f t="shared" si="3"/>
        <v/>
      </c>
      <c r="L222" s="156" t="str">
        <f t="shared" si="4"/>
        <v/>
      </c>
      <c r="M222" s="156" t="str">
        <f t="shared" si="5"/>
        <v/>
      </c>
      <c r="N222" s="155" t="str">
        <f>IF($P222&lt;&gt;"",IF(MAXIFS(Investment!$M:$M,Investment!$H:$H,LEFT($P222,30)&amp;"*"),MAXIFS(Investment!$M:$M,Investment!$H:$H,LEFT($P222,30)&amp;"*"),),)</f>
        <v/>
      </c>
      <c r="O222" s="158" t="str">
        <f>IF($P222&lt;&gt;"",IF(MAXIFS(Investment!$AH:$AH,Investment!$H:$H,LEFT($P222,30)&amp;"*"),MAXIFS(Investment!$AH:$AH,Investment!$H:$H,LEFT($P222,30)&amp;"*"),),)</f>
        <v/>
      </c>
      <c r="P222" s="141"/>
      <c r="Q222" s="145"/>
      <c r="R222" s="138"/>
    </row>
    <row r="223">
      <c r="A223" s="122">
        <v>43434.0</v>
      </c>
      <c r="B223" s="124" t="s">
        <v>364</v>
      </c>
      <c r="C223" s="55" t="s">
        <v>366</v>
      </c>
      <c r="D223" s="298" t="s">
        <v>272</v>
      </c>
      <c r="E223" s="298"/>
      <c r="F223" s="264"/>
      <c r="G223" s="128">
        <v>-204.87</v>
      </c>
      <c r="H223" s="130" t="s">
        <v>1114</v>
      </c>
      <c r="I223" s="138" t="str">
        <f t="shared" ref="I223:J223" si="227">IFS(AND($B223&lt;&gt;"",$E223&lt;&gt;""),IF(INDEX(N:N,MATCH($C223,$P:$P,0),1)&lt;&gt;"",$E223*INDEX(N:N,MATCH($C223,$P:$P,0),1)+$G223,""),AND($B223&lt;&gt;"",$D223="COST",$G223&lt;0),$G223,TRUE,)</f>
        <v/>
      </c>
      <c r="J223" s="138" t="str">
        <f t="shared" si="227"/>
        <v/>
      </c>
      <c r="K223" s="266" t="str">
        <f t="shared" si="3"/>
        <v>iShares Treasury Bond 7-10 UCITS</v>
      </c>
      <c r="L223" s="156">
        <f t="shared" si="4"/>
        <v>597</v>
      </c>
      <c r="M223" s="156">
        <f t="shared" si="5"/>
        <v>-91106.6</v>
      </c>
      <c r="N223" s="155" t="str">
        <f>IF($P223&lt;&gt;"",IF(MAXIFS(Investment!$M:$M,Investment!$H:$H,LEFT($P223,30)&amp;"*"),MAXIFS(Investment!$M:$M,Investment!$H:$H,LEFT($P223,30)&amp;"*"),),)</f>
        <v/>
      </c>
      <c r="O223" s="158" t="str">
        <f>IF($P223&lt;&gt;"",IF(MAXIFS(Investment!$AH:$AH,Investment!$H:$H,LEFT($P223,30)&amp;"*"),MAXIFS(Investment!$AH:$AH,Investment!$H:$H,LEFT($P223,30)&amp;"*"),),)</f>
        <v/>
      </c>
      <c r="P223" s="141"/>
      <c r="Q223" s="145"/>
      <c r="R223" s="138"/>
    </row>
    <row r="224">
      <c r="A224" s="122">
        <v>43433.0</v>
      </c>
      <c r="B224" s="124" t="s">
        <v>364</v>
      </c>
      <c r="C224" s="124" t="s">
        <v>366</v>
      </c>
      <c r="D224" s="124" t="s">
        <v>272</v>
      </c>
      <c r="E224" s="125"/>
      <c r="F224" s="126"/>
      <c r="G224" s="128">
        <v>5.07</v>
      </c>
      <c r="H224" s="249" t="s">
        <v>1115</v>
      </c>
      <c r="I224" s="138" t="str">
        <f t="shared" ref="I224:J224" si="228">IFS(AND($B224&lt;&gt;"",$E224&lt;&gt;""),IF(INDEX(N:N,MATCH($C224,$P:$P,0),1)&lt;&gt;"",$E224*INDEX(N:N,MATCH($C224,$P:$P,0),1)+$G224,""),AND($B224&lt;&gt;"",$D224="COST",$G224&lt;0),$G224,TRUE,)</f>
        <v/>
      </c>
      <c r="J224" s="138" t="str">
        <f t="shared" si="228"/>
        <v/>
      </c>
      <c r="K224" s="266" t="str">
        <f t="shared" si="3"/>
        <v>iShares Treasury Bond 7-10 UCITS</v>
      </c>
      <c r="L224" s="156">
        <f t="shared" si="4"/>
        <v>597</v>
      </c>
      <c r="M224" s="156">
        <f t="shared" si="5"/>
        <v>-91106.6</v>
      </c>
      <c r="N224" s="155" t="str">
        <f>IF($P224&lt;&gt;"",IF(MAXIFS(Investment!$M:$M,Investment!$H:$H,LEFT($P224,30)&amp;"*"),MAXIFS(Investment!$M:$M,Investment!$H:$H,LEFT($P224,30)&amp;"*"),),)</f>
        <v/>
      </c>
      <c r="O224" s="158" t="str">
        <f>IF($P224&lt;&gt;"",IF(MAXIFS(Investment!$AH:$AH,Investment!$H:$H,LEFT($P224,30)&amp;"*"),MAXIFS(Investment!$AH:$AH,Investment!$H:$H,LEFT($P224,30)&amp;"*"),),)</f>
        <v/>
      </c>
      <c r="P224" s="299"/>
      <c r="Q224" s="156"/>
      <c r="R224" s="279"/>
    </row>
    <row r="225">
      <c r="A225" s="122">
        <v>43433.0</v>
      </c>
      <c r="B225" s="124" t="s">
        <v>364</v>
      </c>
      <c r="C225" s="55" t="s">
        <v>366</v>
      </c>
      <c r="D225" s="298" t="s">
        <v>272</v>
      </c>
      <c r="E225" s="298"/>
      <c r="F225" s="264"/>
      <c r="G225" s="128">
        <v>1663.14</v>
      </c>
      <c r="H225" s="130" t="s">
        <v>1118</v>
      </c>
      <c r="I225" s="138" t="str">
        <f t="shared" ref="I225:J225" si="229">IFS(AND($B225&lt;&gt;"",$E225&lt;&gt;""),IF(INDEX(N:N,MATCH($C225,$P:$P,0),1)&lt;&gt;"",$E225*INDEX(N:N,MATCH($C225,$P:$P,0),1)+$G225,""),AND($B225&lt;&gt;"",$D225="COST",$G225&lt;0),$G225,TRUE,)</f>
        <v/>
      </c>
      <c r="J225" s="138" t="str">
        <f t="shared" si="229"/>
        <v/>
      </c>
      <c r="K225" s="266" t="str">
        <f t="shared" si="3"/>
        <v>iShares Treasury Bond 7-10 UCITS</v>
      </c>
      <c r="L225" s="156">
        <f t="shared" si="4"/>
        <v>597</v>
      </c>
      <c r="M225" s="156">
        <f t="shared" si="5"/>
        <v>-91106.6</v>
      </c>
      <c r="N225" s="155" t="str">
        <f>IF($P225&lt;&gt;"",IF(MAXIFS(Investment!$M:$M,Investment!$H:$H,LEFT($P225,30)&amp;"*"),MAXIFS(Investment!$M:$M,Investment!$H:$H,LEFT($P225,30)&amp;"*"),),)</f>
        <v/>
      </c>
      <c r="O225" s="158" t="str">
        <f>IF($P225&lt;&gt;"",IF(MAXIFS(Investment!$AH:$AH,Investment!$H:$H,LEFT($P225,30)&amp;"*"),MAXIFS(Investment!$AH:$AH,Investment!$H:$H,LEFT($P225,30)&amp;"*"),),)</f>
        <v/>
      </c>
      <c r="P225" s="141"/>
      <c r="Q225" s="145"/>
      <c r="R225" s="138"/>
    </row>
    <row r="226">
      <c r="A226" s="122">
        <v>43433.0</v>
      </c>
      <c r="B226" s="124" t="s">
        <v>343</v>
      </c>
      <c r="C226" s="130" t="s">
        <v>344</v>
      </c>
      <c r="D226" s="298" t="s">
        <v>319</v>
      </c>
      <c r="E226" s="298">
        <v>-25.0</v>
      </c>
      <c r="F226" s="264">
        <v>45.7</v>
      </c>
      <c r="G226" s="128">
        <v>1142.5</v>
      </c>
      <c r="H226" s="130" t="s">
        <v>1124</v>
      </c>
      <c r="I226" s="138">
        <f t="shared" ref="I226:J226" si="230">IFS(AND($B226&lt;&gt;"",$E226&lt;&gt;""),IF(INDEX(N:N,MATCH($C226,$P:$P,0),1)&lt;&gt;"",$E226*INDEX(N:N,MATCH($C226,$P:$P,0),1)+$G226,""),AND($B226&lt;&gt;"",$D226="COST",$G226&lt;0),$G226,TRUE,)</f>
        <v>-75.025</v>
      </c>
      <c r="J226" s="138">
        <f t="shared" si="230"/>
        <v>-17.73046875</v>
      </c>
      <c r="K226" s="266" t="str">
        <f t="shared" si="3"/>
        <v>Vanguard S&amp;P 500 UCITS</v>
      </c>
      <c r="L226" s="156">
        <f t="shared" si="4"/>
        <v>4293</v>
      </c>
      <c r="M226" s="156">
        <f t="shared" si="5"/>
        <v>-183260.93</v>
      </c>
      <c r="N226" s="155" t="str">
        <f>IF($P226&lt;&gt;"",IF(MAXIFS(Investment!$M:$M,Investment!$H:$H,LEFT($P226,30)&amp;"*"),MAXIFS(Investment!$M:$M,Investment!$H:$H,LEFT($P226,30)&amp;"*"),),)</f>
        <v/>
      </c>
      <c r="O226" s="158" t="str">
        <f>IF($P226&lt;&gt;"",IF(MAXIFS(Investment!$AH:$AH,Investment!$H:$H,LEFT($P226,30)&amp;"*"),MAXIFS(Investment!$AH:$AH,Investment!$H:$H,LEFT($P226,30)&amp;"*"),),)</f>
        <v/>
      </c>
      <c r="P226" s="141"/>
      <c r="Q226" s="145"/>
      <c r="R226" s="138"/>
    </row>
    <row r="227">
      <c r="A227" s="122">
        <v>43433.0</v>
      </c>
      <c r="B227" s="124" t="s">
        <v>343</v>
      </c>
      <c r="C227" s="130" t="s">
        <v>344</v>
      </c>
      <c r="D227" s="298" t="s">
        <v>378</v>
      </c>
      <c r="E227" s="298"/>
      <c r="F227" s="264"/>
      <c r="G227" s="128">
        <v>-2.23</v>
      </c>
      <c r="H227" s="130" t="s">
        <v>1127</v>
      </c>
      <c r="I227" s="138">
        <f t="shared" ref="I227:J227" si="231">IFS(AND($B227&lt;&gt;"",$E227&lt;&gt;""),IF(INDEX(N:N,MATCH($C227,$P:$P,0),1)&lt;&gt;"",$E227*INDEX(N:N,MATCH($C227,$P:$P,0),1)+$G227,""),AND($B227&lt;&gt;"",$D227="COST",$G227&lt;0),$G227,TRUE,)</f>
        <v>-2.23</v>
      </c>
      <c r="J227" s="138">
        <f t="shared" si="231"/>
        <v>-2.23</v>
      </c>
      <c r="K227" s="266" t="str">
        <f t="shared" si="3"/>
        <v>Vanguard S&amp;P 500 UCITS</v>
      </c>
      <c r="L227" s="156">
        <f t="shared" si="4"/>
        <v>4293</v>
      </c>
      <c r="M227" s="156">
        <f t="shared" si="5"/>
        <v>-183260.93</v>
      </c>
      <c r="N227" s="155" t="str">
        <f>IF($P227&lt;&gt;"",IF(MAXIFS(Investment!$M:$M,Investment!$H:$H,LEFT($P227,30)&amp;"*"),MAXIFS(Investment!$M:$M,Investment!$H:$H,LEFT($P227,30)&amp;"*"),),)</f>
        <v/>
      </c>
      <c r="O227" s="158" t="str">
        <f>IF($P227&lt;&gt;"",IF(MAXIFS(Investment!$AH:$AH,Investment!$H:$H,LEFT($P227,30)&amp;"*"),MAXIFS(Investment!$AH:$AH,Investment!$H:$H,LEFT($P227,30)&amp;"*"),),)</f>
        <v/>
      </c>
      <c r="P227" s="141"/>
      <c r="Q227" s="145"/>
      <c r="R227" s="138"/>
    </row>
    <row r="228">
      <c r="A228" s="122">
        <v>43430.0</v>
      </c>
      <c r="B228" s="124" t="s">
        <v>328</v>
      </c>
      <c r="C228" s="130" t="s">
        <v>329</v>
      </c>
      <c r="D228" s="298" t="s">
        <v>330</v>
      </c>
      <c r="E228" s="298">
        <v>214.0</v>
      </c>
      <c r="F228" s="264">
        <v>7.25</v>
      </c>
      <c r="G228" s="128">
        <v>-1551.5</v>
      </c>
      <c r="H228" s="130" t="s">
        <v>1128</v>
      </c>
      <c r="I228" s="138">
        <f t="shared" ref="I228:J228" si="232">IFS(AND($B228&lt;&gt;"",$E228&lt;&gt;""),IF(INDEX(N:N,MATCH($C228,$P:$P,0),1)&lt;&gt;"",$E228*INDEX(N:N,MATCH($C228,$P:$P,0),1)+$G228,""),AND($B228&lt;&gt;"",$D228="COST",$G228&lt;0),$G228,TRUE,)</f>
        <v>-10.272</v>
      </c>
      <c r="J228" s="138">
        <f t="shared" si="232"/>
        <v>15.27341406</v>
      </c>
      <c r="K228" s="266" t="str">
        <f t="shared" si="3"/>
        <v>ETFS All Commodities ETC</v>
      </c>
      <c r="L228" s="156">
        <f t="shared" si="4"/>
        <v>11470</v>
      </c>
      <c r="M228" s="156">
        <f t="shared" si="5"/>
        <v>-83154.49</v>
      </c>
      <c r="N228" s="155" t="str">
        <f>IF($P228&lt;&gt;"",IF(MAXIFS(Investment!$M:$M,Investment!$H:$H,LEFT($P228,30)&amp;"*"),MAXIFS(Investment!$M:$M,Investment!$H:$H,LEFT($P228,30)&amp;"*"),),)</f>
        <v/>
      </c>
      <c r="O228" s="158" t="str">
        <f>IF($P228&lt;&gt;"",IF(MAXIFS(Investment!$AH:$AH,Investment!$H:$H,LEFT($P228,30)&amp;"*"),MAXIFS(Investment!$AH:$AH,Investment!$H:$H,LEFT($P228,30)&amp;"*"),),)</f>
        <v/>
      </c>
      <c r="P228" s="141"/>
      <c r="Q228" s="145"/>
      <c r="R228" s="138"/>
    </row>
    <row r="229">
      <c r="A229" s="122">
        <v>43430.0</v>
      </c>
      <c r="B229" s="124" t="s">
        <v>268</v>
      </c>
      <c r="C229" s="55" t="s">
        <v>673</v>
      </c>
      <c r="D229" s="298" t="s">
        <v>378</v>
      </c>
      <c r="E229" s="298"/>
      <c r="F229" s="264"/>
      <c r="G229" s="128">
        <v>-2.23</v>
      </c>
      <c r="H229" s="130" t="s">
        <v>509</v>
      </c>
      <c r="I229" s="138">
        <f t="shared" ref="I229:J229" si="233">IFS(AND($B229&lt;&gt;"",$E229&lt;&gt;""),IF(INDEX(N:N,MATCH($C229,$P:$P,0),1)&lt;&gt;"",$E229*INDEX(N:N,MATCH($C229,$P:$P,0),1)+$G229,""),AND($B229&lt;&gt;"",$D229="COST",$G229&lt;0),$G229,TRUE,)</f>
        <v>-2.23</v>
      </c>
      <c r="J229" s="138">
        <f t="shared" si="233"/>
        <v>-2.23</v>
      </c>
      <c r="K229" s="266" t="str">
        <f t="shared" si="3"/>
        <v>iShares Treasury Bond 20+ UCITS USD Dist</v>
      </c>
      <c r="L229" s="156">
        <f t="shared" si="4"/>
        <v>0</v>
      </c>
      <c r="M229" s="156">
        <f t="shared" si="5"/>
        <v>27424.23</v>
      </c>
      <c r="N229" s="155" t="str">
        <f>IF($P229&lt;&gt;"",IF(MAXIFS(Investment!$M:$M,Investment!$H:$H,LEFT($P229,30)&amp;"*"),MAXIFS(Investment!$M:$M,Investment!$H:$H,LEFT($P229,30)&amp;"*"),),)</f>
        <v/>
      </c>
      <c r="O229" s="158" t="str">
        <f>IF($P229&lt;&gt;"",IF(MAXIFS(Investment!$AH:$AH,Investment!$H:$H,LEFT($P229,30)&amp;"*"),MAXIFS(Investment!$AH:$AH,Investment!$H:$H,LEFT($P229,30)&amp;"*"),),)</f>
        <v/>
      </c>
      <c r="P229" s="141"/>
      <c r="Q229" s="145"/>
      <c r="R229" s="138"/>
    </row>
    <row r="230">
      <c r="A230" s="122">
        <v>43430.0</v>
      </c>
      <c r="B230" s="124" t="s">
        <v>268</v>
      </c>
      <c r="C230" s="55" t="s">
        <v>673</v>
      </c>
      <c r="D230" s="298" t="s">
        <v>319</v>
      </c>
      <c r="E230" s="298">
        <v>-300.0</v>
      </c>
      <c r="F230" s="264">
        <v>3.819</v>
      </c>
      <c r="G230" s="128">
        <v>1145.66</v>
      </c>
      <c r="H230" s="130" t="s">
        <v>1130</v>
      </c>
      <c r="I230" s="138">
        <f t="shared" ref="I230:J230" si="234">IFS(AND($B230&lt;&gt;"",$E230&lt;&gt;""),IF(INDEX(N:N,MATCH($C230,$P:$P,0),1)&lt;&gt;"",$E230*INDEX(N:N,MATCH($C230,$P:$P,0),1)+$G230,""),AND($B230&lt;&gt;"",$D230="COST",$G230&lt;0),$G230,TRUE,)</f>
        <v>-158.14</v>
      </c>
      <c r="J230" s="138">
        <f t="shared" si="234"/>
        <v>-49.05830078</v>
      </c>
      <c r="K230" s="266" t="str">
        <f t="shared" si="3"/>
        <v>iShares Treasury Bond 20+ UCITS USD Dist</v>
      </c>
      <c r="L230" s="156">
        <f t="shared" si="4"/>
        <v>0</v>
      </c>
      <c r="M230" s="156">
        <f t="shared" si="5"/>
        <v>27424.23</v>
      </c>
      <c r="N230" s="155" t="str">
        <f>IF($P230&lt;&gt;"",IF(MAXIFS(Investment!$M:$M,Investment!$H:$H,LEFT($P230,30)&amp;"*"),MAXIFS(Investment!$M:$M,Investment!$H:$H,LEFT($P230,30)&amp;"*"),),)</f>
        <v/>
      </c>
      <c r="O230" s="158" t="str">
        <f>IF($P230&lt;&gt;"",IF(MAXIFS(Investment!$AH:$AH,Investment!$H:$H,LEFT($P230,30)&amp;"*"),MAXIFS(Investment!$AH:$AH,Investment!$H:$H,LEFT($P230,30)&amp;"*"),),)</f>
        <v/>
      </c>
      <c r="P230" s="141"/>
      <c r="Q230" s="145"/>
      <c r="R230" s="138"/>
    </row>
    <row r="231">
      <c r="A231" s="122">
        <v>43427.0</v>
      </c>
      <c r="B231" s="124" t="s">
        <v>268</v>
      </c>
      <c r="C231" s="55" t="s">
        <v>673</v>
      </c>
      <c r="D231" s="298" t="s">
        <v>378</v>
      </c>
      <c r="E231" s="298"/>
      <c r="F231" s="264"/>
      <c r="G231" s="128">
        <v>-0.01</v>
      </c>
      <c r="H231" s="130" t="s">
        <v>1133</v>
      </c>
      <c r="I231" s="138">
        <f t="shared" ref="I231:J231" si="235">IFS(AND($B231&lt;&gt;"",$E231&lt;&gt;""),IF(INDEX(N:N,MATCH($C231,$P:$P,0),1)&lt;&gt;"",$E231*INDEX(N:N,MATCH($C231,$P:$P,0),1)+$G231,""),AND($B231&lt;&gt;"",$D231="COST",$G231&lt;0),$G231,TRUE,)</f>
        <v>-0.01</v>
      </c>
      <c r="J231" s="138">
        <f t="shared" si="235"/>
        <v>-0.01</v>
      </c>
      <c r="K231" s="266" t="str">
        <f t="shared" si="3"/>
        <v>iShares Treasury Bond 20+ UCITS USD Dist</v>
      </c>
      <c r="L231" s="156">
        <f t="shared" si="4"/>
        <v>0</v>
      </c>
      <c r="M231" s="156">
        <f t="shared" si="5"/>
        <v>27424.23</v>
      </c>
      <c r="N231" s="155" t="str">
        <f>IF($P231&lt;&gt;"",IF(MAXIFS(Investment!$M:$M,Investment!$H:$H,LEFT($P231,30)&amp;"*"),MAXIFS(Investment!$M:$M,Investment!$H:$H,LEFT($P231,30)&amp;"*"),),)</f>
        <v/>
      </c>
      <c r="O231" s="158" t="str">
        <f>IF($P231&lt;&gt;"",IF(MAXIFS(Investment!$AH:$AH,Investment!$H:$H,LEFT($P231,30)&amp;"*"),MAXIFS(Investment!$AH:$AH,Investment!$H:$H,LEFT($P231,30)&amp;"*"),),)</f>
        <v/>
      </c>
      <c r="P231" s="141"/>
      <c r="Q231" s="145"/>
      <c r="R231" s="138"/>
    </row>
    <row r="232">
      <c r="A232" s="122">
        <v>43426.0</v>
      </c>
      <c r="B232" s="124" t="s">
        <v>268</v>
      </c>
      <c r="C232" s="55" t="s">
        <v>673</v>
      </c>
      <c r="D232" s="298" t="s">
        <v>378</v>
      </c>
      <c r="E232" s="298"/>
      <c r="F232" s="264"/>
      <c r="G232" s="128">
        <v>-3.37</v>
      </c>
      <c r="H232" s="130" t="s">
        <v>1136</v>
      </c>
      <c r="I232" s="138">
        <f t="shared" ref="I232:J232" si="236">IFS(AND($B232&lt;&gt;"",$E232&lt;&gt;""),IF(INDEX(N:N,MATCH($C232,$P:$P,0),1)&lt;&gt;"",$E232*INDEX(N:N,MATCH($C232,$P:$P,0),1)+$G232,""),AND($B232&lt;&gt;"",$D232="COST",$G232&lt;0),$G232,TRUE,)</f>
        <v>-3.37</v>
      </c>
      <c r="J232" s="138">
        <f t="shared" si="236"/>
        <v>-3.37</v>
      </c>
      <c r="K232" s="266" t="str">
        <f t="shared" si="3"/>
        <v>iShares Treasury Bond 20+ UCITS USD Dist</v>
      </c>
      <c r="L232" s="156">
        <f t="shared" si="4"/>
        <v>0</v>
      </c>
      <c r="M232" s="156">
        <f t="shared" si="5"/>
        <v>27424.23</v>
      </c>
      <c r="N232" s="155" t="str">
        <f>IF($P232&lt;&gt;"",IF(MAXIFS(Investment!$M:$M,Investment!$H:$H,LEFT($P232,30)&amp;"*"),MAXIFS(Investment!$M:$M,Investment!$H:$H,LEFT($P232,30)&amp;"*"),),)</f>
        <v/>
      </c>
      <c r="O232" s="158" t="str">
        <f>IF($P232&lt;&gt;"",IF(MAXIFS(Investment!$AH:$AH,Investment!$H:$H,LEFT($P232,30)&amp;"*"),MAXIFS(Investment!$AH:$AH,Investment!$H:$H,LEFT($P232,30)&amp;"*"),),)</f>
        <v/>
      </c>
      <c r="P232" s="141"/>
      <c r="Q232" s="145"/>
      <c r="R232" s="138"/>
    </row>
    <row r="233">
      <c r="A233" s="122">
        <v>43426.0</v>
      </c>
      <c r="B233" s="124" t="s">
        <v>268</v>
      </c>
      <c r="C233" s="55" t="s">
        <v>673</v>
      </c>
      <c r="D233" s="298" t="s">
        <v>319</v>
      </c>
      <c r="E233" s="298">
        <v>-1798.0</v>
      </c>
      <c r="F233" s="264">
        <v>3.797</v>
      </c>
      <c r="G233" s="128">
        <v>6827.2</v>
      </c>
      <c r="H233" s="130" t="s">
        <v>1137</v>
      </c>
      <c r="I233" s="138">
        <f t="shared" ref="I233:J233" si="237">IFS(AND($B233&lt;&gt;"",$E233&lt;&gt;""),IF(INDEX(N:N,MATCH($C233,$P:$P,0),1)&lt;&gt;"",$E233*INDEX(N:N,MATCH($C233,$P:$P,0),1)+$G233,""),AND($B233&lt;&gt;"",$D233="COST",$G233&lt;0),$G233,TRUE,)</f>
        <v>-986.908</v>
      </c>
      <c r="J233" s="138">
        <f t="shared" si="237"/>
        <v>-333.145016</v>
      </c>
      <c r="K233" s="266" t="str">
        <f t="shared" si="3"/>
        <v>iShares Treasury Bond 20+ UCITS USD Dist</v>
      </c>
      <c r="L233" s="156">
        <f t="shared" si="4"/>
        <v>0</v>
      </c>
      <c r="M233" s="156">
        <f t="shared" si="5"/>
        <v>27424.23</v>
      </c>
      <c r="N233" s="155" t="str">
        <f>IF($P233&lt;&gt;"",IF(MAXIFS(Investment!$M:$M,Investment!$H:$H,LEFT($P233,30)&amp;"*"),MAXIFS(Investment!$M:$M,Investment!$H:$H,LEFT($P233,30)&amp;"*"),),)</f>
        <v/>
      </c>
      <c r="O233" s="158" t="str">
        <f>IF($P233&lt;&gt;"",IF(MAXIFS(Investment!$AH:$AH,Investment!$H:$H,LEFT($P233,30)&amp;"*"),MAXIFS(Investment!$AH:$AH,Investment!$H:$H,LEFT($P233,30)&amp;"*"),),)</f>
        <v/>
      </c>
      <c r="P233" s="141"/>
      <c r="Q233" s="145"/>
      <c r="R233" s="138"/>
    </row>
    <row r="234">
      <c r="A234" s="122">
        <v>43426.0</v>
      </c>
      <c r="B234" s="124" t="s">
        <v>364</v>
      </c>
      <c r="C234" s="55" t="s">
        <v>366</v>
      </c>
      <c r="D234" s="298" t="s">
        <v>319</v>
      </c>
      <c r="E234" s="298">
        <v>-7.0</v>
      </c>
      <c r="F234" s="264">
        <v>162.69</v>
      </c>
      <c r="G234" s="128">
        <v>1138.83</v>
      </c>
      <c r="H234" s="130" t="s">
        <v>1144</v>
      </c>
      <c r="I234" s="138">
        <f t="shared" ref="I234:J234" si="238">IFS(AND($B234&lt;&gt;"",$E234&lt;&gt;""),IF(INDEX(N:N,MATCH($C234,$P:$P,0),1)&lt;&gt;"",$E234*INDEX(N:N,MATCH($C234,$P:$P,0),1)+$G234,""),AND($B234&lt;&gt;"",$D234="COST",$G234&lt;0),$G234,TRUE,)</f>
        <v>-103.67</v>
      </c>
      <c r="J234" s="138">
        <f t="shared" si="238"/>
        <v>-35.52527344</v>
      </c>
      <c r="K234" s="266" t="str">
        <f t="shared" si="3"/>
        <v>iShares Treasury Bond 7-10 UCITS</v>
      </c>
      <c r="L234" s="156">
        <f t="shared" si="4"/>
        <v>597</v>
      </c>
      <c r="M234" s="156">
        <f t="shared" si="5"/>
        <v>-91106.6</v>
      </c>
      <c r="N234" s="155" t="str">
        <f>IF($P234&lt;&gt;"",IF(MAXIFS(Investment!$M:$M,Investment!$H:$H,LEFT($P234,30)&amp;"*"),MAXIFS(Investment!$M:$M,Investment!$H:$H,LEFT($P234,30)&amp;"*"),),)</f>
        <v/>
      </c>
      <c r="O234" s="158" t="str">
        <f>IF($P234&lt;&gt;"",IF(MAXIFS(Investment!$AH:$AH,Investment!$H:$H,LEFT($P234,30)&amp;"*"),MAXIFS(Investment!$AH:$AH,Investment!$H:$H,LEFT($P234,30)&amp;"*"),),)</f>
        <v/>
      </c>
      <c r="P234" s="141"/>
      <c r="Q234" s="145"/>
      <c r="R234" s="138"/>
    </row>
    <row r="235">
      <c r="A235" s="122">
        <v>43426.0</v>
      </c>
      <c r="B235" s="124" t="s">
        <v>364</v>
      </c>
      <c r="C235" s="55" t="s">
        <v>366</v>
      </c>
      <c r="D235" s="298" t="s">
        <v>378</v>
      </c>
      <c r="E235" s="298"/>
      <c r="F235" s="264"/>
      <c r="G235" s="128">
        <v>-2.23</v>
      </c>
      <c r="H235" s="130" t="s">
        <v>991</v>
      </c>
      <c r="I235" s="138">
        <f t="shared" ref="I235:J235" si="239">IFS(AND($B235&lt;&gt;"",$E235&lt;&gt;""),IF(INDEX(N:N,MATCH($C235,$P:$P,0),1)&lt;&gt;"",$E235*INDEX(N:N,MATCH($C235,$P:$P,0),1)+$G235,""),AND($B235&lt;&gt;"",$D235="COST",$G235&lt;0),$G235,TRUE,)</f>
        <v>-2.23</v>
      </c>
      <c r="J235" s="138">
        <f t="shared" si="239"/>
        <v>-2.23</v>
      </c>
      <c r="K235" s="266" t="str">
        <f t="shared" si="3"/>
        <v>iShares Treasury Bond 7-10 UCITS</v>
      </c>
      <c r="L235" s="156">
        <f t="shared" si="4"/>
        <v>597</v>
      </c>
      <c r="M235" s="156">
        <f t="shared" si="5"/>
        <v>-91106.6</v>
      </c>
      <c r="N235" s="155" t="str">
        <f>IF($P235&lt;&gt;"",IF(MAXIFS(Investment!$M:$M,Investment!$H:$H,LEFT($P235,30)&amp;"*"),MAXIFS(Investment!$M:$M,Investment!$H:$H,LEFT($P235,30)&amp;"*"),),)</f>
        <v/>
      </c>
      <c r="O235" s="158" t="str">
        <f>IF($P235&lt;&gt;"",IF(MAXIFS(Investment!$AH:$AH,Investment!$H:$H,LEFT($P235,30)&amp;"*"),MAXIFS(Investment!$AH:$AH,Investment!$H:$H,LEFT($P235,30)&amp;"*"),),)</f>
        <v/>
      </c>
      <c r="P235" s="141"/>
      <c r="Q235" s="145"/>
      <c r="R235" s="138"/>
    </row>
    <row r="236">
      <c r="A236" s="122">
        <v>43426.0</v>
      </c>
      <c r="B236" s="124" t="s">
        <v>317</v>
      </c>
      <c r="C236" s="130" t="s">
        <v>318</v>
      </c>
      <c r="D236" s="298" t="s">
        <v>319</v>
      </c>
      <c r="E236" s="298">
        <v>-1.0</v>
      </c>
      <c r="F236" s="264">
        <v>102.84</v>
      </c>
      <c r="G236" s="128">
        <v>102.84</v>
      </c>
      <c r="H236" s="130" t="s">
        <v>1149</v>
      </c>
      <c r="I236" s="138">
        <f t="shared" ref="I236:J236" si="240">IFS(AND($B236&lt;&gt;"",$E236&lt;&gt;""),IF(INDEX(N:N,MATCH($C236,$P:$P,0),1)&lt;&gt;"",$E236*INDEX(N:N,MATCH($C236,$P:$P,0),1)+$G236,""),AND($B236&lt;&gt;"",$D236="COST",$G236&lt;0),$G236,TRUE,)</f>
        <v>-15.26</v>
      </c>
      <c r="J236" s="138">
        <f t="shared" si="240"/>
        <v>-2.863046875</v>
      </c>
      <c r="K236" s="266" t="str">
        <f t="shared" si="3"/>
        <v>ETFS Physical Gold</v>
      </c>
      <c r="L236" s="156">
        <f t="shared" si="4"/>
        <v>443</v>
      </c>
      <c r="M236" s="156">
        <f t="shared" si="5"/>
        <v>-44918.1</v>
      </c>
      <c r="N236" s="155" t="str">
        <f>IF($P236&lt;&gt;"",IF(MAXIFS(Investment!$M:$M,Investment!$H:$H,LEFT($P236,30)&amp;"*"),MAXIFS(Investment!$M:$M,Investment!$H:$H,LEFT($P236,30)&amp;"*"),),)</f>
        <v/>
      </c>
      <c r="O236" s="158" t="str">
        <f>IF($P236&lt;&gt;"",IF(MAXIFS(Investment!$AH:$AH,Investment!$H:$H,LEFT($P236,30)&amp;"*"),MAXIFS(Investment!$AH:$AH,Investment!$H:$H,LEFT($P236,30)&amp;"*"),),)</f>
        <v/>
      </c>
      <c r="P236" s="141"/>
      <c r="Q236" s="145"/>
      <c r="R236" s="138"/>
    </row>
    <row r="237">
      <c r="A237" s="122">
        <v>43419.0</v>
      </c>
      <c r="B237" s="124" t="s">
        <v>343</v>
      </c>
      <c r="C237" s="130" t="s">
        <v>344</v>
      </c>
      <c r="D237" s="298" t="s">
        <v>330</v>
      </c>
      <c r="E237" s="298">
        <v>60.0</v>
      </c>
      <c r="F237" s="264">
        <v>45.362</v>
      </c>
      <c r="G237" s="128">
        <v>-2721.72</v>
      </c>
      <c r="H237" s="130" t="s">
        <v>1150</v>
      </c>
      <c r="I237" s="138">
        <f t="shared" ref="I237:J237" si="241">IFS(AND($B237&lt;&gt;"",$E237&lt;&gt;""),IF(INDEX(N:N,MATCH($C237,$P:$P,0),1)&lt;&gt;"",$E237*INDEX(N:N,MATCH($C237,$P:$P,0),1)+$G237,""),AND($B237&lt;&gt;"",$D237="COST",$G237&lt;0),$G237,TRUE,)</f>
        <v>200.34</v>
      </c>
      <c r="J237" s="138">
        <f t="shared" si="241"/>
        <v>62.833125</v>
      </c>
      <c r="K237" s="266" t="str">
        <f t="shared" si="3"/>
        <v>Vanguard S&amp;P 500 UCITS</v>
      </c>
      <c r="L237" s="156">
        <f t="shared" si="4"/>
        <v>4293</v>
      </c>
      <c r="M237" s="156">
        <f t="shared" si="5"/>
        <v>-183260.93</v>
      </c>
      <c r="N237" s="155" t="str">
        <f>IF($P237&lt;&gt;"",IF(MAXIFS(Investment!$M:$M,Investment!$H:$H,LEFT($P237,30)&amp;"*"),MAXIFS(Investment!$M:$M,Investment!$H:$H,LEFT($P237,30)&amp;"*"),),)</f>
        <v/>
      </c>
      <c r="O237" s="158" t="str">
        <f>IF($P237&lt;&gt;"",IF(MAXIFS(Investment!$AH:$AH,Investment!$H:$H,LEFT($P237,30)&amp;"*"),MAXIFS(Investment!$AH:$AH,Investment!$H:$H,LEFT($P237,30)&amp;"*"),),)</f>
        <v/>
      </c>
      <c r="P237" s="141"/>
      <c r="Q237" s="145"/>
      <c r="R237" s="138"/>
    </row>
    <row r="238">
      <c r="A238" s="122">
        <v>43419.0</v>
      </c>
      <c r="B238" s="124" t="s">
        <v>364</v>
      </c>
      <c r="C238" s="55" t="s">
        <v>366</v>
      </c>
      <c r="D238" s="298" t="s">
        <v>330</v>
      </c>
      <c r="E238" s="298">
        <v>7.0</v>
      </c>
      <c r="F238" s="264">
        <v>163.75</v>
      </c>
      <c r="G238" s="128">
        <v>-1146.25</v>
      </c>
      <c r="H238" s="130" t="s">
        <v>1156</v>
      </c>
      <c r="I238" s="138">
        <f t="shared" ref="I238:J238" si="242">IFS(AND($B238&lt;&gt;"",$E238&lt;&gt;""),IF(INDEX(N:N,MATCH($C238,$P:$P,0),1)&lt;&gt;"",$E238*INDEX(N:N,MATCH($C238,$P:$P,0),1)+$G238,""),AND($B238&lt;&gt;"",$D238="COST",$G238&lt;0),$G238,TRUE,)</f>
        <v>96.25</v>
      </c>
      <c r="J238" s="138">
        <f t="shared" si="242"/>
        <v>28.10527344</v>
      </c>
      <c r="K238" s="266" t="str">
        <f t="shared" si="3"/>
        <v>iShares Treasury Bond 7-10 UCITS</v>
      </c>
      <c r="L238" s="156">
        <f t="shared" si="4"/>
        <v>597</v>
      </c>
      <c r="M238" s="156">
        <f t="shared" si="5"/>
        <v>-91106.6</v>
      </c>
      <c r="N238" s="155" t="str">
        <f>IF($P238&lt;&gt;"",IF(MAXIFS(Investment!$M:$M,Investment!$H:$H,LEFT($P238,30)&amp;"*"),MAXIFS(Investment!$M:$M,Investment!$H:$H,LEFT($P238,30)&amp;"*"),),)</f>
        <v/>
      </c>
      <c r="O238" s="158" t="str">
        <f>IF($P238&lt;&gt;"",IF(MAXIFS(Investment!$AH:$AH,Investment!$H:$H,LEFT($P238,30)&amp;"*"),MAXIFS(Investment!$AH:$AH,Investment!$H:$H,LEFT($P238,30)&amp;"*"),),)</f>
        <v/>
      </c>
      <c r="P238" s="141"/>
      <c r="Q238" s="145"/>
      <c r="R238" s="138"/>
    </row>
    <row r="239">
      <c r="A239" s="122">
        <v>43417.0</v>
      </c>
      <c r="B239" s="124"/>
      <c r="C239" s="130"/>
      <c r="D239" s="298" t="s">
        <v>312</v>
      </c>
      <c r="E239" s="298"/>
      <c r="F239" s="264"/>
      <c r="G239" s="128">
        <v>-300.0</v>
      </c>
      <c r="H239" s="130" t="s">
        <v>1157</v>
      </c>
      <c r="I239" s="138" t="str">
        <f t="shared" ref="I239:J239" si="243">IFS(AND($B239&lt;&gt;"",$E239&lt;&gt;""),IF(INDEX(N:N,MATCH($C239,$P:$P,0),1)&lt;&gt;"",$E239*INDEX(N:N,MATCH($C239,$P:$P,0),1)+$G239,""),AND($B239&lt;&gt;"",$D239="COST",$G239&lt;0),$G239,TRUE,)</f>
        <v/>
      </c>
      <c r="J239" s="138" t="str">
        <f t="shared" si="243"/>
        <v/>
      </c>
      <c r="K239" s="266" t="str">
        <f t="shared" si="3"/>
        <v/>
      </c>
      <c r="L239" s="156" t="str">
        <f t="shared" si="4"/>
        <v/>
      </c>
      <c r="M239" s="156" t="str">
        <f t="shared" si="5"/>
        <v/>
      </c>
      <c r="N239" s="155" t="str">
        <f>IF($P239&lt;&gt;"",IF(MAXIFS(Investment!$M:$M,Investment!$H:$H,LEFT($P239,30)&amp;"*"),MAXIFS(Investment!$M:$M,Investment!$H:$H,LEFT($P239,30)&amp;"*"),),)</f>
        <v/>
      </c>
      <c r="O239" s="158" t="str">
        <f>IF($P239&lt;&gt;"",IF(MAXIFS(Investment!$AH:$AH,Investment!$H:$H,LEFT($P239,30)&amp;"*"),MAXIFS(Investment!$AH:$AH,Investment!$H:$H,LEFT($P239,30)&amp;"*"),),)</f>
        <v/>
      </c>
      <c r="P239" s="141"/>
      <c r="Q239" s="145"/>
      <c r="R239" s="138"/>
    </row>
    <row r="240">
      <c r="A240" s="122">
        <v>43406.0</v>
      </c>
      <c r="B240" s="124"/>
      <c r="C240" s="130"/>
      <c r="D240" s="298" t="s">
        <v>378</v>
      </c>
      <c r="E240" s="298"/>
      <c r="F240" s="264"/>
      <c r="G240" s="128">
        <v>-555.0</v>
      </c>
      <c r="H240" s="130" t="s">
        <v>1162</v>
      </c>
      <c r="I240" s="138" t="str">
        <f t="shared" ref="I240:J240" si="244">IFS(AND($B240&lt;&gt;"",$E240&lt;&gt;""),IF(INDEX(N:N,MATCH($C240,$P:$P,0),1)&lt;&gt;"",$E240*INDEX(N:N,MATCH($C240,$P:$P,0),1)+$G240,""),AND($B240&lt;&gt;"",$D240="COST",$G240&lt;0),$G240,TRUE,)</f>
        <v/>
      </c>
      <c r="J240" s="138" t="str">
        <f t="shared" si="244"/>
        <v/>
      </c>
      <c r="K240" s="266" t="str">
        <f t="shared" si="3"/>
        <v/>
      </c>
      <c r="L240" s="156" t="str">
        <f t="shared" si="4"/>
        <v/>
      </c>
      <c r="M240" s="156" t="str">
        <f t="shared" si="5"/>
        <v/>
      </c>
      <c r="N240" s="155" t="str">
        <f>IF($P240&lt;&gt;"",IF(MAXIFS(Investment!$M:$M,Investment!$H:$H,LEFT($P240,30)&amp;"*"),MAXIFS(Investment!$M:$M,Investment!$H:$H,LEFT($P240,30)&amp;"*"),),)</f>
        <v/>
      </c>
      <c r="O240" s="158" t="str">
        <f>IF($P240&lt;&gt;"",IF(MAXIFS(Investment!$AH:$AH,Investment!$H:$H,LEFT($P240,30)&amp;"*"),MAXIFS(Investment!$AH:$AH,Investment!$H:$H,LEFT($P240,30)&amp;"*"),),)</f>
        <v/>
      </c>
      <c r="P240" s="141"/>
      <c r="Q240" s="145"/>
      <c r="R240" s="138"/>
    </row>
    <row r="241">
      <c r="A241" s="122">
        <v>43405.0</v>
      </c>
      <c r="B241" s="124" t="s">
        <v>343</v>
      </c>
      <c r="C241" s="130" t="s">
        <v>344</v>
      </c>
      <c r="D241" s="298" t="s">
        <v>330</v>
      </c>
      <c r="E241" s="298">
        <v>239.0</v>
      </c>
      <c r="F241" s="264">
        <v>45.493</v>
      </c>
      <c r="G241" s="128">
        <v>-10872.83</v>
      </c>
      <c r="H241" s="130" t="s">
        <v>1163</v>
      </c>
      <c r="I241" s="138">
        <f t="shared" ref="I241:J241" si="245">IFS(AND($B241&lt;&gt;"",$E241&lt;&gt;""),IF(INDEX(N:N,MATCH($C241,$P:$P,0),1)&lt;&gt;"",$E241*INDEX(N:N,MATCH($C241,$P:$P,0),1)+$G241,""),AND($B241&lt;&gt;"",$D241="COST",$G241&lt;0),$G241,TRUE,)</f>
        <v>766.709</v>
      </c>
      <c r="J241" s="138">
        <f t="shared" si="245"/>
        <v>218.9732813</v>
      </c>
      <c r="K241" s="266" t="str">
        <f t="shared" si="3"/>
        <v>Vanguard S&amp;P 500 UCITS</v>
      </c>
      <c r="L241" s="156">
        <f t="shared" si="4"/>
        <v>4293</v>
      </c>
      <c r="M241" s="156">
        <f t="shared" si="5"/>
        <v>-183260.93</v>
      </c>
      <c r="N241" s="155" t="str">
        <f>IF($P241&lt;&gt;"",IF(MAXIFS(Investment!$M:$M,Investment!$H:$H,LEFT($P241,30)&amp;"*"),MAXIFS(Investment!$M:$M,Investment!$H:$H,LEFT($P241,30)&amp;"*"),),)</f>
        <v/>
      </c>
      <c r="O241" s="158" t="str">
        <f>IF($P241&lt;&gt;"",IF(MAXIFS(Investment!$AH:$AH,Investment!$H:$H,LEFT($P241,30)&amp;"*"),MAXIFS(Investment!$AH:$AH,Investment!$H:$H,LEFT($P241,30)&amp;"*"),),)</f>
        <v/>
      </c>
      <c r="P241" s="141"/>
      <c r="Q241" s="145"/>
      <c r="R241" s="138"/>
    </row>
    <row r="242">
      <c r="A242" s="122">
        <v>43405.0</v>
      </c>
      <c r="B242" s="124" t="s">
        <v>328</v>
      </c>
      <c r="C242" s="130" t="s">
        <v>329</v>
      </c>
      <c r="D242" s="298" t="s">
        <v>330</v>
      </c>
      <c r="E242" s="298">
        <v>326.0</v>
      </c>
      <c r="F242" s="264">
        <v>7.482</v>
      </c>
      <c r="G242" s="128">
        <v>-2439.13</v>
      </c>
      <c r="H242" s="130" t="s">
        <v>1164</v>
      </c>
      <c r="I242" s="138">
        <f t="shared" ref="I242:J242" si="246">IFS(AND($B242&lt;&gt;"",$E242&lt;&gt;""),IF(INDEX(N:N,MATCH($C242,$P:$P,0),1)&lt;&gt;"",$E242*INDEX(N:N,MATCH($C242,$P:$P,0),1)+$G242,""),AND($B242&lt;&gt;"",$D242="COST",$G242&lt;0),$G242,TRUE,)</f>
        <v>-91.278</v>
      </c>
      <c r="J242" s="138">
        <f t="shared" si="246"/>
        <v>-52.36302344</v>
      </c>
      <c r="K242" s="266" t="str">
        <f t="shared" si="3"/>
        <v>ETFS All Commodities ETC</v>
      </c>
      <c r="L242" s="156">
        <f t="shared" si="4"/>
        <v>11470</v>
      </c>
      <c r="M242" s="156">
        <f t="shared" si="5"/>
        <v>-83154.49</v>
      </c>
      <c r="N242" s="155" t="str">
        <f>IF($P242&lt;&gt;"",IF(MAXIFS(Investment!$M:$M,Investment!$H:$H,LEFT($P242,30)&amp;"*"),MAXIFS(Investment!$M:$M,Investment!$H:$H,LEFT($P242,30)&amp;"*"),),)</f>
        <v/>
      </c>
      <c r="O242" s="158" t="str">
        <f>IF($P242&lt;&gt;"",IF(MAXIFS(Investment!$AH:$AH,Investment!$H:$H,LEFT($P242,30)&amp;"*"),MAXIFS(Investment!$AH:$AH,Investment!$H:$H,LEFT($P242,30)&amp;"*"),),)</f>
        <v/>
      </c>
      <c r="P242" s="141"/>
      <c r="Q242" s="145"/>
      <c r="R242" s="138"/>
    </row>
    <row r="243">
      <c r="A243" s="122">
        <v>43405.0</v>
      </c>
      <c r="B243" s="124" t="s">
        <v>268</v>
      </c>
      <c r="C243" s="55" t="s">
        <v>673</v>
      </c>
      <c r="D243" s="298" t="s">
        <v>378</v>
      </c>
      <c r="E243" s="301"/>
      <c r="F243" s="264"/>
      <c r="G243" s="128">
        <v>-4.09</v>
      </c>
      <c r="H243" s="130" t="s">
        <v>1165</v>
      </c>
      <c r="I243" s="138">
        <f t="shared" ref="I243:J243" si="247">IFS(AND($B243&lt;&gt;"",$E243&lt;&gt;""),IF(INDEX(N:N,MATCH($C243,$P:$P,0),1)&lt;&gt;"",$E243*INDEX(N:N,MATCH($C243,$P:$P,0),1)+$G243,""),AND($B243&lt;&gt;"",$D243="COST",$G243&lt;0),$G243,TRUE,)</f>
        <v>-4.09</v>
      </c>
      <c r="J243" s="138">
        <f t="shared" si="247"/>
        <v>-4.09</v>
      </c>
      <c r="K243" s="266" t="str">
        <f t="shared" si="3"/>
        <v>iShares Treasury Bond 20+ UCITS USD Dist</v>
      </c>
      <c r="L243" s="156">
        <f t="shared" si="4"/>
        <v>0</v>
      </c>
      <c r="M243" s="156">
        <f t="shared" si="5"/>
        <v>27424.23</v>
      </c>
      <c r="N243" s="155" t="str">
        <f>IF($P243&lt;&gt;"",IF(MAXIFS(Investment!$M:$M,Investment!$H:$H,LEFT($P243,30)&amp;"*"),MAXIFS(Investment!$M:$M,Investment!$H:$H,LEFT($P243,30)&amp;"*"),),)</f>
        <v/>
      </c>
      <c r="O243" s="158" t="str">
        <f>IF($P243&lt;&gt;"",IF(MAXIFS(Investment!$AH:$AH,Investment!$H:$H,LEFT($P243,30)&amp;"*"),MAXIFS(Investment!$AH:$AH,Investment!$H:$H,LEFT($P243,30)&amp;"*"),),)</f>
        <v/>
      </c>
      <c r="P243" s="141"/>
      <c r="Q243" s="145"/>
      <c r="R243" s="138"/>
    </row>
    <row r="244">
      <c r="A244" s="122">
        <v>43405.0</v>
      </c>
      <c r="B244" s="124" t="s">
        <v>268</v>
      </c>
      <c r="C244" s="55" t="s">
        <v>673</v>
      </c>
      <c r="D244" s="298" t="s">
        <v>330</v>
      </c>
      <c r="E244" s="298">
        <v>2786.0</v>
      </c>
      <c r="F244" s="264">
        <v>3.756</v>
      </c>
      <c r="G244" s="128">
        <v>-10463.08</v>
      </c>
      <c r="H244" s="130" t="s">
        <v>1166</v>
      </c>
      <c r="I244" s="138">
        <f t="shared" ref="I244:J244" si="248">IFS(AND($B244&lt;&gt;"",$E244&lt;&gt;""),IF(INDEX(N:N,MATCH($C244,$P:$P,0),1)&lt;&gt;"",$E244*INDEX(N:N,MATCH($C244,$P:$P,0),1)+$G244,""),AND($B244&lt;&gt;"",$D244="COST",$G244&lt;0),$G244,TRUE,)</f>
        <v>1644.876</v>
      </c>
      <c r="J244" s="138">
        <f t="shared" si="248"/>
        <v>631.8706199</v>
      </c>
      <c r="K244" s="266" t="str">
        <f t="shared" si="3"/>
        <v>iShares Treasury Bond 20+ UCITS USD Dist</v>
      </c>
      <c r="L244" s="156">
        <f t="shared" si="4"/>
        <v>0</v>
      </c>
      <c r="M244" s="156">
        <f t="shared" si="5"/>
        <v>27424.23</v>
      </c>
      <c r="N244" s="155" t="str">
        <f>IF($P244&lt;&gt;"",IF(MAXIFS(Investment!$M:$M,Investment!$H:$H,LEFT($P244,30)&amp;"*"),MAXIFS(Investment!$M:$M,Investment!$H:$H,LEFT($P244,30)&amp;"*"),),)</f>
        <v/>
      </c>
      <c r="O244" s="158" t="str">
        <f>IF($P244&lt;&gt;"",IF(MAXIFS(Investment!$AH:$AH,Investment!$H:$H,LEFT($P244,30)&amp;"*"),MAXIFS(Investment!$AH:$AH,Investment!$H:$H,LEFT($P244,30)&amp;"*"),),)</f>
        <v/>
      </c>
      <c r="P244" s="141"/>
      <c r="Q244" s="145"/>
      <c r="R244" s="138"/>
    </row>
    <row r="245">
      <c r="A245" s="122">
        <v>43405.0</v>
      </c>
      <c r="B245" s="124" t="s">
        <v>364</v>
      </c>
      <c r="C245" s="55" t="s">
        <v>366</v>
      </c>
      <c r="D245" s="298" t="s">
        <v>330</v>
      </c>
      <c r="E245" s="298">
        <v>16.0</v>
      </c>
      <c r="F245" s="264">
        <v>163.81</v>
      </c>
      <c r="G245" s="128">
        <v>-2620.96</v>
      </c>
      <c r="H245" s="130" t="s">
        <v>1167</v>
      </c>
      <c r="I245" s="138">
        <f t="shared" ref="I245:J245" si="249">IFS(AND($B245&lt;&gt;"",$E245&lt;&gt;""),IF(INDEX(N:N,MATCH($C245,$P:$P,0),1)&lt;&gt;"",$E245*INDEX(N:N,MATCH($C245,$P:$P,0),1)+$G245,""),AND($B245&lt;&gt;"",$D245="COST",$G245&lt;0),$G245,TRUE,)</f>
        <v>219.04</v>
      </c>
      <c r="J245" s="138">
        <f t="shared" si="249"/>
        <v>63.280625</v>
      </c>
      <c r="K245" s="266" t="str">
        <f t="shared" si="3"/>
        <v>iShares Treasury Bond 7-10 UCITS</v>
      </c>
      <c r="L245" s="156">
        <f t="shared" si="4"/>
        <v>597</v>
      </c>
      <c r="M245" s="156">
        <f t="shared" si="5"/>
        <v>-91106.6</v>
      </c>
      <c r="N245" s="155" t="str">
        <f>IF($P245&lt;&gt;"",IF(MAXIFS(Investment!$M:$M,Investment!$H:$H,LEFT($P245,30)&amp;"*"),MAXIFS(Investment!$M:$M,Investment!$H:$H,LEFT($P245,30)&amp;"*"),),)</f>
        <v/>
      </c>
      <c r="O245" s="158" t="str">
        <f>IF($P245&lt;&gt;"",IF(MAXIFS(Investment!$AH:$AH,Investment!$H:$H,LEFT($P245,30)&amp;"*"),MAXIFS(Investment!$AH:$AH,Investment!$H:$H,LEFT($P245,30)&amp;"*"),),)</f>
        <v/>
      </c>
      <c r="P245" s="141"/>
      <c r="Q245" s="145"/>
      <c r="R245" s="138"/>
    </row>
    <row r="246">
      <c r="A246" s="122">
        <v>43398.0</v>
      </c>
      <c r="B246" s="55"/>
      <c r="C246" s="55"/>
      <c r="D246" s="55" t="s">
        <v>312</v>
      </c>
      <c r="E246" s="55"/>
      <c r="F246" s="264"/>
      <c r="G246" s="128">
        <v>6060.0</v>
      </c>
      <c r="H246" s="55" t="s">
        <v>1168</v>
      </c>
      <c r="I246" s="138" t="str">
        <f t="shared" ref="I246:J246" si="250">IFS(AND($B246&lt;&gt;"",$E246&lt;&gt;""),IF(INDEX(N:N,MATCH($C246,$P:$P,0),1)&lt;&gt;"",$E246*INDEX(N:N,MATCH($C246,$P:$P,0),1)+$G246,""),AND($B246&lt;&gt;"",$D246="COST",$G246&lt;0),$G246,TRUE,)</f>
        <v/>
      </c>
      <c r="J246" s="138" t="str">
        <f t="shared" si="250"/>
        <v/>
      </c>
      <c r="K246" s="266" t="str">
        <f t="shared" si="3"/>
        <v/>
      </c>
      <c r="L246" s="156" t="str">
        <f t="shared" si="4"/>
        <v/>
      </c>
      <c r="M246" s="156" t="str">
        <f t="shared" si="5"/>
        <v/>
      </c>
      <c r="N246" s="155" t="str">
        <f>IF($P246&lt;&gt;"",IF(MAXIFS(Investment!$M:$M,Investment!$H:$H,LEFT($P246,30)&amp;"*"),MAXIFS(Investment!$M:$M,Investment!$H:$H,LEFT($P246,30)&amp;"*"),),)</f>
        <v/>
      </c>
      <c r="O246" s="158" t="str">
        <f>IF($P246&lt;&gt;"",IF(MAXIFS(Investment!$AH:$AH,Investment!$H:$H,LEFT($P246,30)&amp;"*"),MAXIFS(Investment!$AH:$AH,Investment!$H:$H,LEFT($P246,30)&amp;"*"),),)</f>
        <v/>
      </c>
      <c r="P246" s="141"/>
      <c r="Q246" s="145"/>
      <c r="R246" s="138"/>
    </row>
    <row r="247">
      <c r="A247" s="122">
        <v>43385.0</v>
      </c>
      <c r="B247" s="55" t="s">
        <v>268</v>
      </c>
      <c r="C247" s="55" t="s">
        <v>673</v>
      </c>
      <c r="D247" s="55" t="s">
        <v>378</v>
      </c>
      <c r="E247" s="55"/>
      <c r="F247" s="264"/>
      <c r="G247" s="128">
        <v>-2.82</v>
      </c>
      <c r="H247" s="55" t="s">
        <v>1169</v>
      </c>
      <c r="I247" s="138">
        <f t="shared" ref="I247:J247" si="251">IFS(AND($B247&lt;&gt;"",$E247&lt;&gt;""),IF(INDEX(N:N,MATCH($C247,$P:$P,0),1)&lt;&gt;"",$E247*INDEX(N:N,MATCH($C247,$P:$P,0),1)+$G247,""),AND($B247&lt;&gt;"",$D247="COST",$G247&lt;0),$G247,TRUE,)</f>
        <v>-2.82</v>
      </c>
      <c r="J247" s="138">
        <f t="shared" si="251"/>
        <v>-2.82</v>
      </c>
      <c r="K247" s="266" t="str">
        <f t="shared" si="3"/>
        <v>iShares Treasury Bond 20+ UCITS USD Dist</v>
      </c>
      <c r="L247" s="302">
        <f t="shared" si="4"/>
        <v>0</v>
      </c>
      <c r="M247" s="302">
        <f t="shared" si="5"/>
        <v>27424.23</v>
      </c>
      <c r="N247" s="155" t="str">
        <f>IF($P247&lt;&gt;"",IF(MAXIFS(Investment!$M:$M,Investment!$H:$H,LEFT($P247,30)&amp;"*"),MAXIFS(Investment!$M:$M,Investment!$H:$H,LEFT($P247,30)&amp;"*"),),)</f>
        <v/>
      </c>
      <c r="O247" s="158" t="str">
        <f>IF($P247&lt;&gt;"",IF(MAXIFS(Investment!$AH:$AH,Investment!$H:$H,LEFT($P247,30)&amp;"*"),MAXIFS(Investment!$AH:$AH,Investment!$H:$H,LEFT($P247,30)&amp;"*"),),)</f>
        <v/>
      </c>
      <c r="P247" s="299"/>
      <c r="Q247" s="156"/>
      <c r="R247" s="279"/>
    </row>
    <row r="248">
      <c r="A248" s="122">
        <v>43385.0</v>
      </c>
      <c r="B248" s="55" t="s">
        <v>268</v>
      </c>
      <c r="C248" s="55" t="s">
        <v>673</v>
      </c>
      <c r="D248" s="55" t="s">
        <v>319</v>
      </c>
      <c r="E248" s="50">
        <v>-1106.0</v>
      </c>
      <c r="F248" s="264">
        <v>3.708</v>
      </c>
      <c r="G248" s="128">
        <v>4101.58</v>
      </c>
      <c r="H248" s="55" t="s">
        <v>1170</v>
      </c>
      <c r="I248" s="138">
        <f t="shared" ref="I248:J248" si="252">IFS(AND($B248&lt;&gt;"",$E248&lt;&gt;""),IF(INDEX(N:N,MATCH($C248,$P:$P,0),1)&lt;&gt;"",$E248*INDEX(N:N,MATCH($C248,$P:$P,0),1)+$G248,""),AND($B248&lt;&gt;"",$D248="COST",$G248&lt;0),$G248,TRUE,)</f>
        <v>-705.096</v>
      </c>
      <c r="J248" s="138">
        <f t="shared" si="252"/>
        <v>-302.9481355</v>
      </c>
      <c r="K248" s="266" t="str">
        <f t="shared" si="3"/>
        <v>iShares Treasury Bond 20+ UCITS USD Dist</v>
      </c>
      <c r="L248" s="302">
        <f t="shared" si="4"/>
        <v>0</v>
      </c>
      <c r="M248" s="302">
        <f t="shared" si="5"/>
        <v>27424.23</v>
      </c>
      <c r="N248" s="155" t="str">
        <f>IF($P248&lt;&gt;"",IF(MAXIFS(Investment!$M:$M,Investment!$H:$H,LEFT($P248,30)&amp;"*"),MAXIFS(Investment!$M:$M,Investment!$H:$H,LEFT($P248,30)&amp;"*"),),)</f>
        <v/>
      </c>
      <c r="O248" s="158" t="str">
        <f>IF($P248&lt;&gt;"",IF(MAXIFS(Investment!$AH:$AH,Investment!$H:$H,LEFT($P248,30)&amp;"*"),MAXIFS(Investment!$AH:$AH,Investment!$H:$H,LEFT($P248,30)&amp;"*"),),)</f>
        <v/>
      </c>
      <c r="P248" s="299"/>
      <c r="Q248" s="156"/>
      <c r="R248" s="279"/>
    </row>
    <row r="249">
      <c r="A249" s="122">
        <v>43385.0</v>
      </c>
      <c r="B249" s="55" t="s">
        <v>364</v>
      </c>
      <c r="C249" s="55" t="s">
        <v>366</v>
      </c>
      <c r="D249" s="55" t="s">
        <v>319</v>
      </c>
      <c r="E249" s="55">
        <v>-11.0</v>
      </c>
      <c r="F249" s="264">
        <v>160.47</v>
      </c>
      <c r="G249" s="128">
        <v>1765.17</v>
      </c>
      <c r="H249" s="55" t="s">
        <v>1171</v>
      </c>
      <c r="I249" s="138">
        <f t="shared" ref="I249:J249" si="253">IFS(AND($B249&lt;&gt;"",$E249&lt;&gt;""),IF(INDEX(N:N,MATCH($C249,$P:$P,0),1)&lt;&gt;"",$E249*INDEX(N:N,MATCH($C249,$P:$P,0),1)+$G249,""),AND($B249&lt;&gt;"",$D249="COST",$G249&lt;0),$G249,TRUE,)</f>
        <v>-187.33</v>
      </c>
      <c r="J249" s="138">
        <f t="shared" si="253"/>
        <v>-80.24542969</v>
      </c>
      <c r="K249" s="266" t="str">
        <f t="shared" si="3"/>
        <v>iShares Treasury Bond 7-10 UCITS</v>
      </c>
      <c r="L249" s="302">
        <f t="shared" si="4"/>
        <v>597</v>
      </c>
      <c r="M249" s="302">
        <f t="shared" si="5"/>
        <v>-91106.6</v>
      </c>
      <c r="N249" s="155" t="str">
        <f>IF($P249&lt;&gt;"",IF(MAXIFS(Investment!$M:$M,Investment!$H:$H,LEFT($P249,30)&amp;"*"),MAXIFS(Investment!$M:$M,Investment!$H:$H,LEFT($P249,30)&amp;"*"),),)</f>
        <v/>
      </c>
      <c r="O249" s="158" t="str">
        <f>IF($P249&lt;&gt;"",IF(MAXIFS(Investment!$AH:$AH,Investment!$H:$H,LEFT($P249,30)&amp;"*"),MAXIFS(Investment!$AH:$AH,Investment!$H:$H,LEFT($P249,30)&amp;"*"),),)</f>
        <v/>
      </c>
      <c r="P249" s="299"/>
      <c r="Q249" s="156"/>
      <c r="R249" s="279"/>
    </row>
    <row r="250">
      <c r="A250" s="122">
        <v>43385.0</v>
      </c>
      <c r="B250" s="55" t="s">
        <v>343</v>
      </c>
      <c r="C250" s="55" t="s">
        <v>344</v>
      </c>
      <c r="D250" s="55" t="s">
        <v>330</v>
      </c>
      <c r="E250" s="55">
        <v>55.0</v>
      </c>
      <c r="F250" s="264">
        <v>45.353</v>
      </c>
      <c r="G250" s="128">
        <v>-2494.42</v>
      </c>
      <c r="H250" s="55" t="s">
        <v>1172</v>
      </c>
      <c r="I250" s="138">
        <f t="shared" ref="I250:J250" si="254">IFS(AND($B250&lt;&gt;"",$E250&lt;&gt;""),IF(INDEX(N:N,MATCH($C250,$P:$P,0),1)&lt;&gt;"",$E250*INDEX(N:N,MATCH($C250,$P:$P,0),1)+$G250,""),AND($B250&lt;&gt;"",$D250="COST",$G250&lt;0),$G250,TRUE,)</f>
        <v>184.135</v>
      </c>
      <c r="J250" s="138">
        <f t="shared" si="254"/>
        <v>58.08703125</v>
      </c>
      <c r="K250" s="266" t="str">
        <f t="shared" si="3"/>
        <v>Vanguard S&amp;P 500 UCITS</v>
      </c>
      <c r="L250" s="302">
        <f t="shared" si="4"/>
        <v>4293</v>
      </c>
      <c r="M250" s="302">
        <f t="shared" si="5"/>
        <v>-183260.93</v>
      </c>
      <c r="N250" s="155" t="str">
        <f>IF($P250&lt;&gt;"",IF(MAXIFS(Investment!$M:$M,Investment!$H:$H,LEFT($P250,30)&amp;"*"),MAXIFS(Investment!$M:$M,Investment!$H:$H,LEFT($P250,30)&amp;"*"),),)</f>
        <v/>
      </c>
      <c r="O250" s="158" t="str">
        <f>IF($P250&lt;&gt;"",IF(MAXIFS(Investment!$AH:$AH,Investment!$H:$H,LEFT($P250,30)&amp;"*"),MAXIFS(Investment!$AH:$AH,Investment!$H:$H,LEFT($P250,30)&amp;"*"),),)</f>
        <v/>
      </c>
      <c r="P250" s="299"/>
      <c r="Q250" s="156"/>
      <c r="R250" s="279"/>
    </row>
    <row r="251">
      <c r="A251" s="122">
        <v>43385.0</v>
      </c>
      <c r="B251" s="55" t="s">
        <v>268</v>
      </c>
      <c r="C251" s="55" t="s">
        <v>673</v>
      </c>
      <c r="D251" s="55" t="s">
        <v>378</v>
      </c>
      <c r="E251" s="55"/>
      <c r="F251" s="264"/>
      <c r="G251" s="128">
        <v>-4.42</v>
      </c>
      <c r="H251" s="55" t="s">
        <v>999</v>
      </c>
      <c r="I251" s="138">
        <f t="shared" ref="I251:J251" si="255">IFS(AND($B251&lt;&gt;"",$E251&lt;&gt;""),IF(INDEX(N:N,MATCH($C251,$P:$P,0),1)&lt;&gt;"",$E251*INDEX(N:N,MATCH($C251,$P:$P,0),1)+$G251,""),AND($B251&lt;&gt;"",$D251="COST",$G251&lt;0),$G251,TRUE,)</f>
        <v>-4.42</v>
      </c>
      <c r="J251" s="138">
        <f t="shared" si="255"/>
        <v>-4.42</v>
      </c>
      <c r="K251" s="266" t="str">
        <f t="shared" si="3"/>
        <v>iShares Treasury Bond 20+ UCITS USD Dist</v>
      </c>
      <c r="L251" s="302">
        <f t="shared" si="4"/>
        <v>0</v>
      </c>
      <c r="M251" s="302">
        <f t="shared" si="5"/>
        <v>27424.23</v>
      </c>
      <c r="N251" s="155" t="str">
        <f>IF($P251&lt;&gt;"",IF(MAXIFS(Investment!$M:$M,Investment!$H:$H,LEFT($P251,30)&amp;"*"),MAXIFS(Investment!$M:$M,Investment!$H:$H,LEFT($P251,30)&amp;"*"),),)</f>
        <v/>
      </c>
      <c r="O251" s="158" t="str">
        <f>IF($P251&lt;&gt;"",IF(MAXIFS(Investment!$AH:$AH,Investment!$H:$H,LEFT($P251,30)&amp;"*"),MAXIFS(Investment!$AH:$AH,Investment!$H:$H,LEFT($P251,30)&amp;"*"),),)</f>
        <v/>
      </c>
      <c r="P251" s="299"/>
      <c r="Q251" s="156"/>
      <c r="R251" s="279"/>
    </row>
    <row r="252">
      <c r="A252" s="122">
        <v>43385.0</v>
      </c>
      <c r="B252" s="55" t="s">
        <v>268</v>
      </c>
      <c r="C252" s="55" t="s">
        <v>673</v>
      </c>
      <c r="D252" s="55" t="s">
        <v>319</v>
      </c>
      <c r="E252" s="50">
        <v>-3258.0</v>
      </c>
      <c r="F252" s="264">
        <v>3.707</v>
      </c>
      <c r="G252" s="128">
        <v>12076.62</v>
      </c>
      <c r="H252" s="55" t="s">
        <v>1173</v>
      </c>
      <c r="I252" s="138">
        <f t="shared" ref="I252:J252" si="256">IFS(AND($B252&lt;&gt;"",$E252&lt;&gt;""),IF(INDEX(N:N,MATCH($C252,$P:$P,0),1)&lt;&gt;"",$E252*INDEX(N:N,MATCH($C252,$P:$P,0),1)+$G252,""),AND($B252&lt;&gt;"",$D252="COST",$G252&lt;0),$G252,TRUE,)</f>
        <v>-2082.648</v>
      </c>
      <c r="J252" s="138">
        <f t="shared" si="256"/>
        <v>-898.0207465</v>
      </c>
      <c r="K252" s="266" t="str">
        <f t="shared" si="3"/>
        <v>iShares Treasury Bond 20+ UCITS USD Dist</v>
      </c>
      <c r="L252" s="302">
        <f t="shared" si="4"/>
        <v>0</v>
      </c>
      <c r="M252" s="302">
        <f t="shared" si="5"/>
        <v>27424.23</v>
      </c>
      <c r="N252" s="155" t="str">
        <f>IF($P252&lt;&gt;"",IF(MAXIFS(Investment!$M:$M,Investment!$H:$H,LEFT($P252,30)&amp;"*"),MAXIFS(Investment!$M:$M,Investment!$H:$H,LEFT($P252,30)&amp;"*"),),)</f>
        <v/>
      </c>
      <c r="O252" s="158" t="str">
        <f>IF($P252&lt;&gt;"",IF(MAXIFS(Investment!$AH:$AH,Investment!$H:$H,LEFT($P252,30)&amp;"*"),MAXIFS(Investment!$AH:$AH,Investment!$H:$H,LEFT($P252,30)&amp;"*"),),)</f>
        <v/>
      </c>
      <c r="P252" s="299"/>
      <c r="Q252" s="156"/>
      <c r="R252" s="279"/>
    </row>
    <row r="253">
      <c r="A253" s="122">
        <v>43385.0</v>
      </c>
      <c r="B253" s="55" t="s">
        <v>317</v>
      </c>
      <c r="C253" s="55" t="s">
        <v>318</v>
      </c>
      <c r="D253" s="55" t="s">
        <v>319</v>
      </c>
      <c r="E253" s="55">
        <v>-10.0</v>
      </c>
      <c r="F253" s="264">
        <v>100.61</v>
      </c>
      <c r="G253" s="128">
        <v>1006.1</v>
      </c>
      <c r="H253" s="55" t="s">
        <v>1174</v>
      </c>
      <c r="I253" s="138">
        <f t="shared" ref="I253:J253" si="257">IFS(AND($B253&lt;&gt;"",$E253&lt;&gt;""),IF(INDEX(N:N,MATCH($C253,$P:$P,0),1)&lt;&gt;"",$E253*INDEX(N:N,MATCH($C253,$P:$P,0),1)+$G253,""),AND($B253&lt;&gt;"",$D253="COST",$G253&lt;0),$G253,TRUE,)</f>
        <v>-174.9</v>
      </c>
      <c r="J253" s="138">
        <f t="shared" si="257"/>
        <v>-50.93046875</v>
      </c>
      <c r="K253" s="266" t="str">
        <f t="shared" si="3"/>
        <v>ETFS Physical Gold</v>
      </c>
      <c r="L253" s="302">
        <f t="shared" si="4"/>
        <v>443</v>
      </c>
      <c r="M253" s="302">
        <f t="shared" si="5"/>
        <v>-44918.1</v>
      </c>
      <c r="N253" s="155" t="str">
        <f>IF($P253&lt;&gt;"",IF(MAXIFS(Investment!$M:$M,Investment!$H:$H,LEFT($P253,30)&amp;"*"),MAXIFS(Investment!$M:$M,Investment!$H:$H,LEFT($P253,30)&amp;"*"),),)</f>
        <v/>
      </c>
      <c r="O253" s="158" t="str">
        <f>IF($P253&lt;&gt;"",IF(MAXIFS(Investment!$AH:$AH,Investment!$H:$H,LEFT($P253,30)&amp;"*"),MAXIFS(Investment!$AH:$AH,Investment!$H:$H,LEFT($P253,30)&amp;"*"),),)</f>
        <v/>
      </c>
      <c r="P253" s="299"/>
      <c r="Q253" s="156"/>
      <c r="R253" s="279"/>
    </row>
    <row r="254">
      <c r="A254" s="122">
        <v>43385.0</v>
      </c>
      <c r="B254" s="55" t="s">
        <v>364</v>
      </c>
      <c r="C254" s="55" t="s">
        <v>366</v>
      </c>
      <c r="D254" s="55" t="s">
        <v>319</v>
      </c>
      <c r="E254" s="55">
        <v>-13.0</v>
      </c>
      <c r="F254" s="264">
        <v>160.39</v>
      </c>
      <c r="G254" s="128">
        <v>2085.07</v>
      </c>
      <c r="H254" s="55" t="s">
        <v>1175</v>
      </c>
      <c r="I254" s="138">
        <f t="shared" ref="I254:J254" si="258">IFS(AND($B254&lt;&gt;"",$E254&lt;&gt;""),IF(INDEX(N:N,MATCH($C254,$P:$P,0),1)&lt;&gt;"",$E254*INDEX(N:N,MATCH($C254,$P:$P,0),1)+$G254,""),AND($B254&lt;&gt;"",$D254="COST",$G254&lt;0),$G254,TRUE,)</f>
        <v>-222.43</v>
      </c>
      <c r="J254" s="138">
        <f t="shared" si="258"/>
        <v>-95.87550781</v>
      </c>
      <c r="K254" s="266" t="str">
        <f t="shared" si="3"/>
        <v>iShares Treasury Bond 7-10 UCITS</v>
      </c>
      <c r="L254" s="302">
        <f t="shared" si="4"/>
        <v>597</v>
      </c>
      <c r="M254" s="302">
        <f t="shared" si="5"/>
        <v>-91106.6</v>
      </c>
      <c r="N254" s="155" t="str">
        <f>IF($P254&lt;&gt;"",IF(MAXIFS(Investment!$M:$M,Investment!$H:$H,LEFT($P254,30)&amp;"*"),MAXIFS(Investment!$M:$M,Investment!$H:$H,LEFT($P254,30)&amp;"*"),),)</f>
        <v/>
      </c>
      <c r="O254" s="158" t="str">
        <f>IF($P254&lt;&gt;"",IF(MAXIFS(Investment!$AH:$AH,Investment!$H:$H,LEFT($P254,30)&amp;"*"),MAXIFS(Investment!$AH:$AH,Investment!$H:$H,LEFT($P254,30)&amp;"*"),),)</f>
        <v/>
      </c>
      <c r="P254" s="299"/>
      <c r="Q254" s="156"/>
      <c r="R254" s="279"/>
    </row>
    <row r="255">
      <c r="A255" s="122">
        <v>43385.0</v>
      </c>
      <c r="B255" s="55" t="s">
        <v>328</v>
      </c>
      <c r="C255" s="55" t="s">
        <v>329</v>
      </c>
      <c r="D255" s="55" t="s">
        <v>319</v>
      </c>
      <c r="E255" s="55">
        <v>-32.0</v>
      </c>
      <c r="F255" s="264">
        <v>7.607</v>
      </c>
      <c r="G255" s="128">
        <v>243.42</v>
      </c>
      <c r="H255" s="55" t="s">
        <v>1176</v>
      </c>
      <c r="I255" s="138">
        <f t="shared" ref="I255:J255" si="259">IFS(AND($B255&lt;&gt;"",$E255&lt;&gt;""),IF(INDEX(N:N,MATCH($C255,$P:$P,0),1)&lt;&gt;"",$E255*INDEX(N:N,MATCH($C255,$P:$P,0),1)+$G255,""),AND($B255&lt;&gt;"",$D255="COST",$G255&lt;0),$G255,TRUE,)</f>
        <v>12.956</v>
      </c>
      <c r="J255" s="138">
        <f t="shared" si="259"/>
        <v>9.136125</v>
      </c>
      <c r="K255" s="266" t="str">
        <f t="shared" si="3"/>
        <v>ETFS All Commodities ETC</v>
      </c>
      <c r="L255" s="302">
        <f t="shared" si="4"/>
        <v>11470</v>
      </c>
      <c r="M255" s="302">
        <f t="shared" si="5"/>
        <v>-83154.49</v>
      </c>
      <c r="N255" s="155" t="str">
        <f>IF($P255&lt;&gt;"",IF(MAXIFS(Investment!$M:$M,Investment!$H:$H,LEFT($P255,30)&amp;"*"),MAXIFS(Investment!$M:$M,Investment!$H:$H,LEFT($P255,30)&amp;"*"),),)</f>
        <v/>
      </c>
      <c r="O255" s="158" t="str">
        <f>IF($P255&lt;&gt;"",IF(MAXIFS(Investment!$AH:$AH,Investment!$H:$H,LEFT($P255,30)&amp;"*"),MAXIFS(Investment!$AH:$AH,Investment!$H:$H,LEFT($P255,30)&amp;"*"),),)</f>
        <v/>
      </c>
      <c r="P255" s="299"/>
      <c r="Q255" s="156"/>
      <c r="R255" s="279"/>
    </row>
    <row r="256">
      <c r="A256" s="122">
        <v>43385.0</v>
      </c>
      <c r="B256" s="55" t="s">
        <v>328</v>
      </c>
      <c r="C256" s="55" t="s">
        <v>329</v>
      </c>
      <c r="D256" s="55" t="s">
        <v>378</v>
      </c>
      <c r="E256" s="55"/>
      <c r="F256" s="264"/>
      <c r="G256" s="128">
        <v>-2.05</v>
      </c>
      <c r="H256" s="55" t="s">
        <v>1177</v>
      </c>
      <c r="I256" s="138">
        <f t="shared" ref="I256:J256" si="260">IFS(AND($B256&lt;&gt;"",$E256&lt;&gt;""),IF(INDEX(N:N,MATCH($C256,$P:$P,0),1)&lt;&gt;"",$E256*INDEX(N:N,MATCH($C256,$P:$P,0),1)+$G256,""),AND($B256&lt;&gt;"",$D256="COST",$G256&lt;0),$G256,TRUE,)</f>
        <v>-2.05</v>
      </c>
      <c r="J256" s="138">
        <f t="shared" si="260"/>
        <v>-2.05</v>
      </c>
      <c r="K256" s="266" t="str">
        <f t="shared" si="3"/>
        <v>ETFS All Commodities ETC</v>
      </c>
      <c r="L256" s="302">
        <f t="shared" si="4"/>
        <v>11470</v>
      </c>
      <c r="M256" s="302">
        <f t="shared" si="5"/>
        <v>-83154.49</v>
      </c>
      <c r="N256" s="155" t="str">
        <f>IF($P256&lt;&gt;"",IF(MAXIFS(Investment!$M:$M,Investment!$H:$H,LEFT($P256,30)&amp;"*"),MAXIFS(Investment!$M:$M,Investment!$H:$H,LEFT($P256,30)&amp;"*"),),)</f>
        <v/>
      </c>
      <c r="O256" s="158" t="str">
        <f>IF($P256&lt;&gt;"",IF(MAXIFS(Investment!$AH:$AH,Investment!$H:$H,LEFT($P256,30)&amp;"*"),MAXIFS(Investment!$AH:$AH,Investment!$H:$H,LEFT($P256,30)&amp;"*"),),)</f>
        <v/>
      </c>
      <c r="P256" s="299"/>
      <c r="Q256" s="156"/>
      <c r="R256" s="279"/>
    </row>
    <row r="257">
      <c r="A257" s="122">
        <v>43384.0</v>
      </c>
      <c r="B257" s="55" t="s">
        <v>343</v>
      </c>
      <c r="C257" s="55" t="s">
        <v>344</v>
      </c>
      <c r="D257" s="55" t="s">
        <v>272</v>
      </c>
      <c r="E257" s="55"/>
      <c r="F257" s="264"/>
      <c r="G257" s="128">
        <v>-136.05</v>
      </c>
      <c r="H257" s="55" t="s">
        <v>1178</v>
      </c>
      <c r="I257" s="138" t="str">
        <f t="shared" ref="I257:J257" si="261">IFS(AND($B257&lt;&gt;"",$E257&lt;&gt;""),IF(INDEX(N:N,MATCH($C257,$P:$P,0),1)&lt;&gt;"",$E257*INDEX(N:N,MATCH($C257,$P:$P,0),1)+$G257,""),AND($B257&lt;&gt;"",$D257="COST",$G257&lt;0),$G257,TRUE,)</f>
        <v/>
      </c>
      <c r="J257" s="138" t="str">
        <f t="shared" si="261"/>
        <v/>
      </c>
      <c r="K257" s="266" t="str">
        <f t="shared" si="3"/>
        <v>Vanguard S&amp;P 500 UCITS</v>
      </c>
      <c r="L257" s="302">
        <f t="shared" si="4"/>
        <v>4293</v>
      </c>
      <c r="M257" s="302">
        <f t="shared" si="5"/>
        <v>-183260.93</v>
      </c>
      <c r="N257" s="155" t="str">
        <f>IF($P257&lt;&gt;"",IF(MAXIFS(Investment!$M:$M,Investment!$H:$H,LEFT($P257,30)&amp;"*"),MAXIFS(Investment!$M:$M,Investment!$H:$H,LEFT($P257,30)&amp;"*"),),)</f>
        <v/>
      </c>
      <c r="O257" s="158" t="str">
        <f>IF($P257&lt;&gt;"",IF(MAXIFS(Investment!$AH:$AH,Investment!$H:$H,LEFT($P257,30)&amp;"*"),MAXIFS(Investment!$AH:$AH,Investment!$H:$H,LEFT($P257,30)&amp;"*"),),)</f>
        <v/>
      </c>
      <c r="P257" s="299"/>
      <c r="Q257" s="156"/>
      <c r="R257" s="279"/>
    </row>
    <row r="258">
      <c r="A258" s="122">
        <v>43383.0</v>
      </c>
      <c r="B258" s="55" t="s">
        <v>343</v>
      </c>
      <c r="C258" s="55" t="s">
        <v>344</v>
      </c>
      <c r="D258" s="55" t="s">
        <v>272</v>
      </c>
      <c r="E258" s="55"/>
      <c r="F258" s="264"/>
      <c r="G258" s="128">
        <v>1024.7</v>
      </c>
      <c r="H258" s="55" t="s">
        <v>1179</v>
      </c>
      <c r="I258" s="138" t="str">
        <f t="shared" ref="I258:J258" si="262">IFS(AND($B258&lt;&gt;"",$E258&lt;&gt;""),IF(INDEX(N:N,MATCH($C258,$P:$P,0),1)&lt;&gt;"",$E258*INDEX(N:N,MATCH($C258,$P:$P,0),1)+$G258,""),AND($B258&lt;&gt;"",$D258="COST",$G258&lt;0),$G258,TRUE,)</f>
        <v/>
      </c>
      <c r="J258" s="138" t="str">
        <f t="shared" si="262"/>
        <v/>
      </c>
      <c r="K258" s="266" t="str">
        <f t="shared" si="3"/>
        <v>Vanguard S&amp;P 500 UCITS</v>
      </c>
      <c r="L258" s="302">
        <f t="shared" si="4"/>
        <v>4293</v>
      </c>
      <c r="M258" s="302">
        <f t="shared" si="5"/>
        <v>-183260.93</v>
      </c>
      <c r="N258" s="155" t="str">
        <f>IF($P258&lt;&gt;"",IF(MAXIFS(Investment!$M:$M,Investment!$H:$H,LEFT($P258,30)&amp;"*"),MAXIFS(Investment!$M:$M,Investment!$H:$H,LEFT($P258,30)&amp;"*"),),)</f>
        <v/>
      </c>
      <c r="O258" s="158" t="str">
        <f>IF($P258&lt;&gt;"",IF(MAXIFS(Investment!$AH:$AH,Investment!$H:$H,LEFT($P258,30)&amp;"*"),MAXIFS(Investment!$AH:$AH,Investment!$H:$H,LEFT($P258,30)&amp;"*"),),)</f>
        <v/>
      </c>
      <c r="P258" s="299"/>
      <c r="Q258" s="156"/>
      <c r="R258" s="279"/>
    </row>
    <row r="259">
      <c r="A259" s="122">
        <v>43378.0</v>
      </c>
      <c r="B259" s="55" t="s">
        <v>317</v>
      </c>
      <c r="C259" s="55" t="s">
        <v>318</v>
      </c>
      <c r="D259" s="55" t="s">
        <v>319</v>
      </c>
      <c r="E259" s="55">
        <v>-9.0</v>
      </c>
      <c r="F259" s="264">
        <v>99.89</v>
      </c>
      <c r="G259" s="128">
        <v>899.01</v>
      </c>
      <c r="H259" s="55" t="s">
        <v>1180</v>
      </c>
      <c r="I259" s="138">
        <f t="shared" ref="I259:J259" si="263">IFS(AND($B259&lt;&gt;"",$E259&lt;&gt;""),IF(INDEX(N:N,MATCH($C259,$P:$P,0),1)&lt;&gt;"",$E259*INDEX(N:N,MATCH($C259,$P:$P,0),1)+$G259,""),AND($B259&lt;&gt;"",$D259="COST",$G259&lt;0),$G259,TRUE,)</f>
        <v>-163.89</v>
      </c>
      <c r="J259" s="138">
        <f t="shared" si="263"/>
        <v>-52.31742188</v>
      </c>
      <c r="K259" s="266" t="str">
        <f t="shared" si="3"/>
        <v>ETFS Physical Gold</v>
      </c>
      <c r="L259" s="302">
        <f t="shared" si="4"/>
        <v>443</v>
      </c>
      <c r="M259" s="302">
        <f t="shared" si="5"/>
        <v>-44918.1</v>
      </c>
      <c r="N259" s="155" t="str">
        <f>IF($P259&lt;&gt;"",IF(MAXIFS(Investment!$M:$M,Investment!$H:$H,LEFT($P259,30)&amp;"*"),MAXIFS(Investment!$M:$M,Investment!$H:$H,LEFT($P259,30)&amp;"*"),),)</f>
        <v/>
      </c>
      <c r="O259" s="158" t="str">
        <f>IF($P259&lt;&gt;"",IF(MAXIFS(Investment!$AH:$AH,Investment!$H:$H,LEFT($P259,30)&amp;"*"),MAXIFS(Investment!$AH:$AH,Investment!$H:$H,LEFT($P259,30)&amp;"*"),),)</f>
        <v/>
      </c>
      <c r="P259" s="299"/>
      <c r="Q259" s="156"/>
      <c r="R259" s="279"/>
    </row>
    <row r="260">
      <c r="A260" s="122">
        <v>43377.0</v>
      </c>
      <c r="B260" s="55" t="s">
        <v>328</v>
      </c>
      <c r="C260" s="55" t="s">
        <v>329</v>
      </c>
      <c r="D260" s="55" t="s">
        <v>319</v>
      </c>
      <c r="E260" s="55">
        <v>-238.0</v>
      </c>
      <c r="F260" s="264">
        <v>7.784</v>
      </c>
      <c r="G260" s="128">
        <v>1852.59</v>
      </c>
      <c r="H260" s="55" t="s">
        <v>1181</v>
      </c>
      <c r="I260" s="138">
        <f t="shared" ref="I260:J260" si="264">IFS(AND($B260&lt;&gt;"",$E260&lt;&gt;""),IF(INDEX(N:N,MATCH($C260,$P:$P,0),1)&lt;&gt;"",$E260*INDEX(N:N,MATCH($C260,$P:$P,0),1)+$G260,""),AND($B260&lt;&gt;"",$D260="COST",$G260&lt;0),$G260,TRUE,)</f>
        <v>138.514</v>
      </c>
      <c r="J260" s="138">
        <f t="shared" si="264"/>
        <v>110.1036797</v>
      </c>
      <c r="K260" s="266" t="str">
        <f t="shared" si="3"/>
        <v>ETFS All Commodities ETC</v>
      </c>
      <c r="L260" s="302">
        <f t="shared" si="4"/>
        <v>11470</v>
      </c>
      <c r="M260" s="302">
        <f t="shared" si="5"/>
        <v>-83154.49</v>
      </c>
      <c r="N260" s="155" t="str">
        <f>IF($P260&lt;&gt;"",IF(MAXIFS(Investment!$M:$M,Investment!$H:$H,LEFT($P260,30)&amp;"*"),MAXIFS(Investment!$M:$M,Investment!$H:$H,LEFT($P260,30)&amp;"*"),),)</f>
        <v/>
      </c>
      <c r="O260" s="158" t="str">
        <f>IF($P260&lt;&gt;"",IF(MAXIFS(Investment!$AH:$AH,Investment!$H:$H,LEFT($P260,30)&amp;"*"),MAXIFS(Investment!$AH:$AH,Investment!$H:$H,LEFT($P260,30)&amp;"*"),),)</f>
        <v/>
      </c>
      <c r="P260" s="299"/>
      <c r="Q260" s="156"/>
      <c r="R260" s="279"/>
    </row>
    <row r="261">
      <c r="A261" s="122">
        <v>43377.0</v>
      </c>
      <c r="B261" s="55" t="s">
        <v>364</v>
      </c>
      <c r="C261" s="55" t="s">
        <v>366</v>
      </c>
      <c r="D261" s="55" t="s">
        <v>319</v>
      </c>
      <c r="E261" s="55">
        <v>-5.0</v>
      </c>
      <c r="F261" s="264">
        <v>161.06</v>
      </c>
      <c r="G261" s="128">
        <v>805.3</v>
      </c>
      <c r="H261" s="55" t="s">
        <v>1182</v>
      </c>
      <c r="I261" s="138">
        <f t="shared" ref="I261:J261" si="265">IFS(AND($B261&lt;&gt;"",$E261&lt;&gt;""),IF(INDEX(N:N,MATCH($C261,$P:$P,0),1)&lt;&gt;"",$E261*INDEX(N:N,MATCH($C261,$P:$P,0),1)+$G261,""),AND($B261&lt;&gt;"",$D261="COST",$G261&lt;0),$G261,TRUE,)</f>
        <v>-82.2</v>
      </c>
      <c r="J261" s="138">
        <f t="shared" si="265"/>
        <v>-33.52519531</v>
      </c>
      <c r="K261" s="266" t="str">
        <f t="shared" si="3"/>
        <v>iShares Treasury Bond 7-10 UCITS</v>
      </c>
      <c r="L261" s="302">
        <f t="shared" si="4"/>
        <v>597</v>
      </c>
      <c r="M261" s="302">
        <f t="shared" si="5"/>
        <v>-91106.6</v>
      </c>
      <c r="N261" s="155" t="str">
        <f>IF($P261&lt;&gt;"",IF(MAXIFS(Investment!$M:$M,Investment!$H:$H,LEFT($P261,30)&amp;"*"),MAXIFS(Investment!$M:$M,Investment!$H:$H,LEFT($P261,30)&amp;"*"),),)</f>
        <v/>
      </c>
      <c r="O261" s="158" t="str">
        <f>IF($P261&lt;&gt;"",IF(MAXIFS(Investment!$AH:$AH,Investment!$H:$H,LEFT($P261,30)&amp;"*"),MAXIFS(Investment!$AH:$AH,Investment!$H:$H,LEFT($P261,30)&amp;"*"),),)</f>
        <v/>
      </c>
      <c r="P261" s="299"/>
      <c r="Q261" s="156"/>
      <c r="R261" s="279"/>
    </row>
    <row r="262">
      <c r="A262" s="122">
        <v>43377.0</v>
      </c>
      <c r="B262" s="55" t="s">
        <v>268</v>
      </c>
      <c r="C262" s="55" t="s">
        <v>673</v>
      </c>
      <c r="D262" s="55" t="s">
        <v>378</v>
      </c>
      <c r="E262" s="55"/>
      <c r="F262" s="264"/>
      <c r="G262" s="128">
        <v>-3.76</v>
      </c>
      <c r="H262" s="55" t="s">
        <v>1183</v>
      </c>
      <c r="I262" s="138">
        <f t="shared" ref="I262:J262" si="266">IFS(AND($B262&lt;&gt;"",$E262&lt;&gt;""),IF(INDEX(N:N,MATCH($C262,$P:$P,0),1)&lt;&gt;"",$E262*INDEX(N:N,MATCH($C262,$P:$P,0),1)+$G262,""),AND($B262&lt;&gt;"",$D262="COST",$G262&lt;0),$G262,TRUE,)</f>
        <v>-3.76</v>
      </c>
      <c r="J262" s="138">
        <f t="shared" si="266"/>
        <v>-3.76</v>
      </c>
      <c r="K262" s="266" t="str">
        <f t="shared" si="3"/>
        <v>iShares Treasury Bond 20+ UCITS USD Dist</v>
      </c>
      <c r="L262" s="302">
        <f t="shared" si="4"/>
        <v>0</v>
      </c>
      <c r="M262" s="302">
        <f t="shared" si="5"/>
        <v>27424.23</v>
      </c>
      <c r="N262" s="155" t="str">
        <f>IF($P262&lt;&gt;"",IF(MAXIFS(Investment!$M:$M,Investment!$H:$H,LEFT($P262,30)&amp;"*"),MAXIFS(Investment!$M:$M,Investment!$H:$H,LEFT($P262,30)&amp;"*"),),)</f>
        <v/>
      </c>
      <c r="O262" s="158" t="str">
        <f>IF($P262&lt;&gt;"",IF(MAXIFS(Investment!$AH:$AH,Investment!$H:$H,LEFT($P262,30)&amp;"*"),MAXIFS(Investment!$AH:$AH,Investment!$H:$H,LEFT($P262,30)&amp;"*"),),)</f>
        <v/>
      </c>
      <c r="P262" s="299"/>
      <c r="Q262" s="156"/>
      <c r="R262" s="279"/>
    </row>
    <row r="263">
      <c r="A263" s="122">
        <v>43377.0</v>
      </c>
      <c r="B263" s="55" t="s">
        <v>268</v>
      </c>
      <c r="C263" s="55" t="s">
        <v>673</v>
      </c>
      <c r="D263" s="55" t="s">
        <v>330</v>
      </c>
      <c r="E263" s="50">
        <v>2361.0</v>
      </c>
      <c r="F263" s="264">
        <v>3.731</v>
      </c>
      <c r="G263" s="128">
        <v>-8808.53</v>
      </c>
      <c r="H263" s="55" t="s">
        <v>1184</v>
      </c>
      <c r="I263" s="138">
        <f t="shared" ref="I263:J263" si="267">IFS(AND($B263&lt;&gt;"",$E263&lt;&gt;""),IF(INDEX(N:N,MATCH($C263,$P:$P,0),1)&lt;&gt;"",$E263*INDEX(N:N,MATCH($C263,$P:$P,0),1)+$G263,""),AND($B263&lt;&gt;"",$D263="COST",$G263&lt;0),$G263,TRUE,)</f>
        <v>1452.376</v>
      </c>
      <c r="J263" s="138">
        <f t="shared" si="267"/>
        <v>593.9030271</v>
      </c>
      <c r="K263" s="266" t="str">
        <f t="shared" si="3"/>
        <v>iShares Treasury Bond 20+ UCITS USD Dist</v>
      </c>
      <c r="L263" s="302">
        <f t="shared" si="4"/>
        <v>0</v>
      </c>
      <c r="M263" s="302">
        <f t="shared" si="5"/>
        <v>27424.23</v>
      </c>
      <c r="N263" s="155" t="str">
        <f>IF($P263&lt;&gt;"",IF(MAXIFS(Investment!$M:$M,Investment!$H:$H,LEFT($P263,30)&amp;"*"),MAXIFS(Investment!$M:$M,Investment!$H:$H,LEFT($P263,30)&amp;"*"),),)</f>
        <v/>
      </c>
      <c r="O263" s="158" t="str">
        <f>IF($P263&lt;&gt;"",IF(MAXIFS(Investment!$AH:$AH,Investment!$H:$H,LEFT($P263,30)&amp;"*"),MAXIFS(Investment!$AH:$AH,Investment!$H:$H,LEFT($P263,30)&amp;"*"),),)</f>
        <v/>
      </c>
      <c r="P263" s="299"/>
      <c r="Q263" s="156"/>
      <c r="R263" s="279"/>
    </row>
    <row r="264">
      <c r="A264" s="122">
        <v>43375.0</v>
      </c>
      <c r="B264" s="55"/>
      <c r="C264" s="55"/>
      <c r="D264" s="55" t="s">
        <v>378</v>
      </c>
      <c r="E264" s="55"/>
      <c r="F264" s="264"/>
      <c r="G264" s="128">
        <v>-501.62</v>
      </c>
      <c r="H264" s="55" t="s">
        <v>1185</v>
      </c>
      <c r="I264" s="138" t="str">
        <f t="shared" ref="I264:J264" si="268">IFS(AND($B264&lt;&gt;"",$E264&lt;&gt;""),IF(INDEX(N:N,MATCH($C264,$P:$P,0),1)&lt;&gt;"",$E264*INDEX(N:N,MATCH($C264,$P:$P,0),1)+$G264,""),AND($B264&lt;&gt;"",$D264="COST",$G264&lt;0),$G264,TRUE,)</f>
        <v/>
      </c>
      <c r="J264" s="138" t="str">
        <f t="shared" si="268"/>
        <v/>
      </c>
      <c r="K264" s="266" t="str">
        <f t="shared" si="3"/>
        <v/>
      </c>
      <c r="L264" s="302" t="str">
        <f t="shared" si="4"/>
        <v/>
      </c>
      <c r="M264" s="302" t="str">
        <f t="shared" si="5"/>
        <v/>
      </c>
      <c r="N264" s="155" t="str">
        <f>IF($P264&lt;&gt;"",IF(MAXIFS(Investment!$M:$M,Investment!$H:$H,LEFT($P264,30)&amp;"*"),MAXIFS(Investment!$M:$M,Investment!$H:$H,LEFT($P264,30)&amp;"*"),),)</f>
        <v/>
      </c>
      <c r="O264" s="158" t="str">
        <f>IF($P264&lt;&gt;"",IF(MAXIFS(Investment!$AH:$AH,Investment!$H:$H,LEFT($P264,30)&amp;"*"),MAXIFS(Investment!$AH:$AH,Investment!$H:$H,LEFT($P264,30)&amp;"*"),),)</f>
        <v/>
      </c>
      <c r="P264" s="299"/>
      <c r="Q264" s="156"/>
      <c r="R264" s="279"/>
    </row>
    <row r="265">
      <c r="A265" s="122">
        <v>43369.0</v>
      </c>
      <c r="B265" s="55" t="s">
        <v>343</v>
      </c>
      <c r="C265" s="55" t="s">
        <v>344</v>
      </c>
      <c r="D265" s="55" t="s">
        <v>319</v>
      </c>
      <c r="E265" s="55">
        <v>-30.0</v>
      </c>
      <c r="F265" s="264">
        <v>47.288</v>
      </c>
      <c r="G265" s="128">
        <v>1418.64</v>
      </c>
      <c r="H265" s="55" t="s">
        <v>1186</v>
      </c>
      <c r="I265" s="138">
        <f t="shared" ref="I265:J265" si="269">IFS(AND($B265&lt;&gt;"",$E265&lt;&gt;""),IF(INDEX(N:N,MATCH($C265,$P:$P,0),1)&lt;&gt;"",$E265*INDEX(N:N,MATCH($C265,$P:$P,0),1)+$G265,""),AND($B265&lt;&gt;"",$D265="COST",$G265&lt;0),$G265,TRUE,)</f>
        <v>-42.39</v>
      </c>
      <c r="J265" s="138">
        <f t="shared" si="269"/>
        <v>26.3634375</v>
      </c>
      <c r="K265" s="266" t="str">
        <f t="shared" si="3"/>
        <v>Vanguard S&amp;P 500 UCITS</v>
      </c>
      <c r="L265" s="302">
        <f t="shared" si="4"/>
        <v>4293</v>
      </c>
      <c r="M265" s="302">
        <f t="shared" si="5"/>
        <v>-183260.93</v>
      </c>
      <c r="N265" s="155" t="str">
        <f>IF($P265&lt;&gt;"",IF(MAXIFS(Investment!$M:$M,Investment!$H:$H,LEFT($P265,30)&amp;"*"),MAXIFS(Investment!$M:$M,Investment!$H:$H,LEFT($P265,30)&amp;"*"),),)</f>
        <v/>
      </c>
      <c r="O265" s="158" t="str">
        <f>IF($P265&lt;&gt;"",IF(MAXIFS(Investment!$AH:$AH,Investment!$H:$H,LEFT($P265,30)&amp;"*"),MAXIFS(Investment!$AH:$AH,Investment!$H:$H,LEFT($P265,30)&amp;"*"),),)</f>
        <v/>
      </c>
      <c r="P265" s="299"/>
      <c r="Q265" s="156"/>
      <c r="R265" s="279"/>
    </row>
    <row r="266">
      <c r="A266" s="122">
        <v>43369.0</v>
      </c>
      <c r="B266" s="55" t="s">
        <v>328</v>
      </c>
      <c r="C266" s="55" t="s">
        <v>329</v>
      </c>
      <c r="D266" s="55" t="s">
        <v>319</v>
      </c>
      <c r="E266" s="55">
        <v>-225.0</v>
      </c>
      <c r="F266" s="264">
        <v>7.373</v>
      </c>
      <c r="G266" s="128">
        <v>1658.92</v>
      </c>
      <c r="H266" s="55" t="s">
        <v>1187</v>
      </c>
      <c r="I266" s="138">
        <f t="shared" ref="I266:J266" si="270">IFS(AND($B266&lt;&gt;"",$E266&lt;&gt;""),IF(INDEX(N:N,MATCH($C266,$P:$P,0),1)&lt;&gt;"",$E266*INDEX(N:N,MATCH($C266,$P:$P,0),1)+$G266,""),AND($B266&lt;&gt;"",$D266="COST",$G266&lt;0),$G266,TRUE,)</f>
        <v>38.47</v>
      </c>
      <c r="J266" s="138">
        <f t="shared" si="270"/>
        <v>11.61150391</v>
      </c>
      <c r="K266" s="266" t="str">
        <f t="shared" si="3"/>
        <v>ETFS All Commodities ETC</v>
      </c>
      <c r="L266" s="302">
        <f t="shared" si="4"/>
        <v>11470</v>
      </c>
      <c r="M266" s="302">
        <f t="shared" si="5"/>
        <v>-83154.49</v>
      </c>
      <c r="N266" s="155" t="str">
        <f>IF($P266&lt;&gt;"",IF(MAXIFS(Investment!$M:$M,Investment!$H:$H,LEFT($P266,30)&amp;"*"),MAXIFS(Investment!$M:$M,Investment!$H:$H,LEFT($P266,30)&amp;"*"),),)</f>
        <v/>
      </c>
      <c r="O266" s="158" t="str">
        <f>IF($P266&lt;&gt;"",IF(MAXIFS(Investment!$AH:$AH,Investment!$H:$H,LEFT($P266,30)&amp;"*"),MAXIFS(Investment!$AH:$AH,Investment!$H:$H,LEFT($P266,30)&amp;"*"),),)</f>
        <v/>
      </c>
      <c r="P266" s="299"/>
      <c r="Q266" s="156"/>
      <c r="R266" s="279"/>
    </row>
    <row r="267">
      <c r="A267" s="122">
        <v>43369.0</v>
      </c>
      <c r="B267" s="55" t="s">
        <v>317</v>
      </c>
      <c r="C267" s="55" t="s">
        <v>318</v>
      </c>
      <c r="D267" s="55" t="s">
        <v>319</v>
      </c>
      <c r="E267" s="55">
        <v>-12.0</v>
      </c>
      <c r="F267" s="264">
        <v>97.53</v>
      </c>
      <c r="G267" s="128">
        <v>1170.36</v>
      </c>
      <c r="H267" s="55" t="s">
        <v>1188</v>
      </c>
      <c r="I267" s="138">
        <f t="shared" ref="I267:J267" si="271">IFS(AND($B267&lt;&gt;"",$E267&lt;&gt;""),IF(INDEX(N:N,MATCH($C267,$P:$P,0),1)&lt;&gt;"",$E267*INDEX(N:N,MATCH($C267,$P:$P,0),1)+$G267,""),AND($B267&lt;&gt;"",$D267="COST",$G267&lt;0),$G267,TRUE,)</f>
        <v>-246.84</v>
      </c>
      <c r="J267" s="138">
        <f t="shared" si="271"/>
        <v>-98.0765625</v>
      </c>
      <c r="K267" s="266" t="str">
        <f t="shared" si="3"/>
        <v>ETFS Physical Gold</v>
      </c>
      <c r="L267" s="302">
        <f t="shared" si="4"/>
        <v>443</v>
      </c>
      <c r="M267" s="302">
        <f t="shared" si="5"/>
        <v>-44918.1</v>
      </c>
      <c r="N267" s="155" t="str">
        <f>IF($P267&lt;&gt;"",IF(MAXIFS(Investment!$M:$M,Investment!$H:$H,LEFT($P267,30)&amp;"*"),MAXIFS(Investment!$M:$M,Investment!$H:$H,LEFT($P267,30)&amp;"*"),),)</f>
        <v/>
      </c>
      <c r="O267" s="158" t="str">
        <f>IF($P267&lt;&gt;"",IF(MAXIFS(Investment!$AH:$AH,Investment!$H:$H,LEFT($P267,30)&amp;"*"),MAXIFS(Investment!$AH:$AH,Investment!$H:$H,LEFT($P267,30)&amp;"*"),),)</f>
        <v/>
      </c>
      <c r="P267" s="299"/>
      <c r="Q267" s="156"/>
      <c r="R267" s="279"/>
    </row>
    <row r="268">
      <c r="A268" s="122">
        <v>43367.0</v>
      </c>
      <c r="B268" s="55" t="s">
        <v>343</v>
      </c>
      <c r="C268" s="55" t="s">
        <v>344</v>
      </c>
      <c r="D268" s="55" t="s">
        <v>319</v>
      </c>
      <c r="E268" s="55">
        <v>-30.0</v>
      </c>
      <c r="F268" s="264">
        <v>47.385</v>
      </c>
      <c r="G268" s="128">
        <v>1421.55</v>
      </c>
      <c r="H268" s="55" t="s">
        <v>1189</v>
      </c>
      <c r="I268" s="138">
        <f t="shared" ref="I268:J268" si="272">IFS(AND($B268&lt;&gt;"",$E268&lt;&gt;""),IF(INDEX(N:N,MATCH($C268,$P:$P,0),1)&lt;&gt;"",$E268*INDEX(N:N,MATCH($C268,$P:$P,0),1)+$G268,""),AND($B268&lt;&gt;"",$D268="COST",$G268&lt;0),$G268,TRUE,)</f>
        <v>-39.48</v>
      </c>
      <c r="J268" s="138">
        <f t="shared" si="272"/>
        <v>29.2734375</v>
      </c>
      <c r="K268" s="266" t="str">
        <f t="shared" si="3"/>
        <v>Vanguard S&amp;P 500 UCITS</v>
      </c>
      <c r="L268" s="302">
        <f t="shared" si="4"/>
        <v>4293</v>
      </c>
      <c r="M268" s="302">
        <f t="shared" si="5"/>
        <v>-183260.93</v>
      </c>
      <c r="N268" s="155" t="str">
        <f>IF($P268&lt;&gt;"",IF(MAXIFS(Investment!$M:$M,Investment!$H:$H,LEFT($P268,30)&amp;"*"),MAXIFS(Investment!$M:$M,Investment!$H:$H,LEFT($P268,30)&amp;"*"),),)</f>
        <v/>
      </c>
      <c r="O268" s="158" t="str">
        <f>IF($P268&lt;&gt;"",IF(MAXIFS(Investment!$AH:$AH,Investment!$H:$H,LEFT($P268,30)&amp;"*"),MAXIFS(Investment!$AH:$AH,Investment!$H:$H,LEFT($P268,30)&amp;"*"),),)</f>
        <v/>
      </c>
      <c r="P268" s="299"/>
      <c r="Q268" s="156"/>
      <c r="R268" s="279"/>
    </row>
    <row r="269">
      <c r="A269" s="122">
        <v>43363.0</v>
      </c>
      <c r="B269" s="55" t="s">
        <v>328</v>
      </c>
      <c r="C269" s="55" t="s">
        <v>329</v>
      </c>
      <c r="D269" s="55" t="s">
        <v>319</v>
      </c>
      <c r="E269" s="55">
        <v>-250.0</v>
      </c>
      <c r="F269" s="264">
        <v>7.261</v>
      </c>
      <c r="G269" s="128">
        <v>1815.25</v>
      </c>
      <c r="H269" s="55" t="s">
        <v>1190</v>
      </c>
      <c r="I269" s="138">
        <f t="shared" ref="I269:J269" si="273">IFS(AND($B269&lt;&gt;"",$E269&lt;&gt;""),IF(INDEX(N:N,MATCH($C269,$P:$P,0),1)&lt;&gt;"",$E269*INDEX(N:N,MATCH($C269,$P:$P,0),1)+$G269,""),AND($B269&lt;&gt;"",$D269="COST",$G269&lt;0),$G269,TRUE,)</f>
        <v>14.75</v>
      </c>
      <c r="J269" s="138">
        <f t="shared" si="273"/>
        <v>-15.09277344</v>
      </c>
      <c r="K269" s="266" t="str">
        <f t="shared" si="3"/>
        <v>ETFS All Commodities ETC</v>
      </c>
      <c r="L269" s="302">
        <f t="shared" si="4"/>
        <v>11470</v>
      </c>
      <c r="M269" s="302">
        <f t="shared" si="5"/>
        <v>-83154.49</v>
      </c>
      <c r="N269" s="155" t="str">
        <f>IF($P269&lt;&gt;"",IF(MAXIFS(Investment!$M:$M,Investment!$H:$H,LEFT($P269,30)&amp;"*"),MAXIFS(Investment!$M:$M,Investment!$H:$H,LEFT($P269,30)&amp;"*"),),)</f>
        <v/>
      </c>
      <c r="O269" s="158" t="str">
        <f>IF($P269&lt;&gt;"",IF(MAXIFS(Investment!$AH:$AH,Investment!$H:$H,LEFT($P269,30)&amp;"*"),MAXIFS(Investment!$AH:$AH,Investment!$H:$H,LEFT($P269,30)&amp;"*"),),)</f>
        <v/>
      </c>
      <c r="P269" s="299"/>
      <c r="Q269" s="156"/>
      <c r="R269" s="279"/>
    </row>
    <row r="270">
      <c r="A270" s="122">
        <v>43363.0</v>
      </c>
      <c r="B270" s="55" t="s">
        <v>343</v>
      </c>
      <c r="C270" s="55" t="s">
        <v>344</v>
      </c>
      <c r="D270" s="55" t="s">
        <v>319</v>
      </c>
      <c r="E270" s="55">
        <v>-45.0</v>
      </c>
      <c r="F270" s="264">
        <v>47.386</v>
      </c>
      <c r="G270" s="128">
        <v>2132.37</v>
      </c>
      <c r="H270" s="55" t="s">
        <v>1191</v>
      </c>
      <c r="I270" s="138">
        <f t="shared" ref="I270:J270" si="274">IFS(AND($B270&lt;&gt;"",$E270&lt;&gt;""),IF(INDEX(N:N,MATCH($C270,$P:$P,0),1)&lt;&gt;"",$E270*INDEX(N:N,MATCH($C270,$P:$P,0),1)+$G270,""),AND($B270&lt;&gt;"",$D270="COST",$G270&lt;0),$G270,TRUE,)</f>
        <v>-59.175</v>
      </c>
      <c r="J270" s="138">
        <f t="shared" si="274"/>
        <v>43.95515625</v>
      </c>
      <c r="K270" s="266" t="str">
        <f t="shared" si="3"/>
        <v>Vanguard S&amp;P 500 UCITS</v>
      </c>
      <c r="L270" s="302">
        <f t="shared" si="4"/>
        <v>4293</v>
      </c>
      <c r="M270" s="302">
        <f t="shared" si="5"/>
        <v>-183260.93</v>
      </c>
      <c r="N270" s="155" t="str">
        <f>IF($P270&lt;&gt;"",IF(MAXIFS(Investment!$M:$M,Investment!$H:$H,LEFT($P270,30)&amp;"*"),MAXIFS(Investment!$M:$M,Investment!$H:$H,LEFT($P270,30)&amp;"*"),),)</f>
        <v/>
      </c>
      <c r="O270" s="158" t="str">
        <f>IF($P270&lt;&gt;"",IF(MAXIFS(Investment!$AH:$AH,Investment!$H:$H,LEFT($P270,30)&amp;"*"),MAXIFS(Investment!$AH:$AH,Investment!$H:$H,LEFT($P270,30)&amp;"*"),),)</f>
        <v/>
      </c>
      <c r="P270" s="299"/>
      <c r="Q270" s="156"/>
      <c r="R270" s="279"/>
    </row>
    <row r="271">
      <c r="A271" s="122">
        <v>43363.0</v>
      </c>
      <c r="B271" s="55" t="s">
        <v>268</v>
      </c>
      <c r="C271" s="55" t="s">
        <v>673</v>
      </c>
      <c r="D271" s="55" t="s">
        <v>378</v>
      </c>
      <c r="E271" s="55"/>
      <c r="F271" s="264"/>
      <c r="G271" s="128">
        <v>-2.54</v>
      </c>
      <c r="H271" s="55" t="s">
        <v>1192</v>
      </c>
      <c r="I271" s="138">
        <f t="shared" ref="I271:J271" si="275">IFS(AND($B271&lt;&gt;"",$E271&lt;&gt;""),IF(INDEX(N:N,MATCH($C271,$P:$P,0),1)&lt;&gt;"",$E271*INDEX(N:N,MATCH($C271,$P:$P,0),1)+$G271,""),AND($B271&lt;&gt;"",$D271="COST",$G271&lt;0),$G271,TRUE,)</f>
        <v>-2.54</v>
      </c>
      <c r="J271" s="138">
        <f t="shared" si="275"/>
        <v>-2.54</v>
      </c>
      <c r="K271" s="266" t="str">
        <f t="shared" si="3"/>
        <v>iShares Treasury Bond 20+ UCITS USD Dist</v>
      </c>
      <c r="L271" s="302">
        <f t="shared" si="4"/>
        <v>0</v>
      </c>
      <c r="M271" s="302">
        <f t="shared" si="5"/>
        <v>27424.23</v>
      </c>
      <c r="N271" s="155" t="str">
        <f>IF($P271&lt;&gt;"",IF(MAXIFS(Investment!$M:$M,Investment!$H:$H,LEFT($P271,30)&amp;"*"),MAXIFS(Investment!$M:$M,Investment!$H:$H,LEFT($P271,30)&amp;"*"),),)</f>
        <v/>
      </c>
      <c r="O271" s="158" t="str">
        <f>IF($P271&lt;&gt;"",IF(MAXIFS(Investment!$AH:$AH,Investment!$H:$H,LEFT($P271,30)&amp;"*"),MAXIFS(Investment!$AH:$AH,Investment!$H:$H,LEFT($P271,30)&amp;"*"),),)</f>
        <v/>
      </c>
      <c r="P271" s="299"/>
      <c r="Q271" s="156"/>
      <c r="R271" s="279"/>
    </row>
    <row r="272">
      <c r="A272" s="122">
        <v>43363.0</v>
      </c>
      <c r="B272" s="55" t="s">
        <v>268</v>
      </c>
      <c r="C272" s="55" t="s">
        <v>673</v>
      </c>
      <c r="D272" s="55" t="s">
        <v>330</v>
      </c>
      <c r="E272" s="55">
        <v>717.0</v>
      </c>
      <c r="F272" s="264">
        <v>3.757</v>
      </c>
      <c r="G272" s="128">
        <v>-2693.88</v>
      </c>
      <c r="H272" s="55" t="s">
        <v>1193</v>
      </c>
      <c r="I272" s="138">
        <f t="shared" ref="I272:J272" si="276">IFS(AND($B272&lt;&gt;"",$E272&lt;&gt;""),IF(INDEX(N:N,MATCH($C272,$P:$P,0),1)&lt;&gt;"",$E272*INDEX(N:N,MATCH($C272,$P:$P,0),1)+$G272,""),AND($B272&lt;&gt;"",$D272="COST",$G272&lt;0),$G272,TRUE,)</f>
        <v>422.202</v>
      </c>
      <c r="J272" s="138">
        <f t="shared" si="276"/>
        <v>161.4967389</v>
      </c>
      <c r="K272" s="266" t="str">
        <f t="shared" si="3"/>
        <v>iShares Treasury Bond 20+ UCITS USD Dist</v>
      </c>
      <c r="L272" s="302">
        <f t="shared" si="4"/>
        <v>0</v>
      </c>
      <c r="M272" s="302">
        <f t="shared" si="5"/>
        <v>27424.23</v>
      </c>
      <c r="N272" s="155" t="str">
        <f>IF($P272&lt;&gt;"",IF(MAXIFS(Investment!$M:$M,Investment!$H:$H,LEFT($P272,30)&amp;"*"),MAXIFS(Investment!$M:$M,Investment!$H:$H,LEFT($P272,30)&amp;"*"),),)</f>
        <v/>
      </c>
      <c r="O272" s="158" t="str">
        <f>IF($P272&lt;&gt;"",IF(MAXIFS(Investment!$AH:$AH,Investment!$H:$H,LEFT($P272,30)&amp;"*"),MAXIFS(Investment!$AH:$AH,Investment!$H:$H,LEFT($P272,30)&amp;"*"),),)</f>
        <v/>
      </c>
      <c r="P272" s="299"/>
      <c r="Q272" s="156"/>
      <c r="R272" s="279"/>
    </row>
    <row r="273">
      <c r="A273" s="122">
        <v>43361.0</v>
      </c>
      <c r="B273" s="55" t="s">
        <v>268</v>
      </c>
      <c r="C273" s="55" t="s">
        <v>673</v>
      </c>
      <c r="D273" s="55" t="s">
        <v>378</v>
      </c>
      <c r="E273" s="55"/>
      <c r="F273" s="264"/>
      <c r="G273" s="128">
        <v>-2.4</v>
      </c>
      <c r="H273" s="55" t="s">
        <v>905</v>
      </c>
      <c r="I273" s="138">
        <f t="shared" ref="I273:J273" si="277">IFS(AND($B273&lt;&gt;"",$E273&lt;&gt;""),IF(INDEX(N:N,MATCH($C273,$P:$P,0),1)&lt;&gt;"",$E273*INDEX(N:N,MATCH($C273,$P:$P,0),1)+$G273,""),AND($B273&lt;&gt;"",$D273="COST",$G273&lt;0),$G273,TRUE,)</f>
        <v>-2.4</v>
      </c>
      <c r="J273" s="138">
        <f t="shared" si="277"/>
        <v>-2.4</v>
      </c>
      <c r="K273" s="266" t="str">
        <f t="shared" si="3"/>
        <v>iShares Treasury Bond 20+ UCITS USD Dist</v>
      </c>
      <c r="L273" s="302">
        <f t="shared" si="4"/>
        <v>0</v>
      </c>
      <c r="M273" s="302">
        <f t="shared" si="5"/>
        <v>27424.23</v>
      </c>
      <c r="N273" s="155" t="str">
        <f>IF($P273&lt;&gt;"",IF(MAXIFS(Investment!$M:$M,Investment!$H:$H,LEFT($P273,30)&amp;"*"),MAXIFS(Investment!$M:$M,Investment!$H:$H,LEFT($P273,30)&amp;"*"),),)</f>
        <v/>
      </c>
      <c r="O273" s="158" t="str">
        <f>IF($P273&lt;&gt;"",IF(MAXIFS(Investment!$AH:$AH,Investment!$H:$H,LEFT($P273,30)&amp;"*"),MAXIFS(Investment!$AH:$AH,Investment!$H:$H,LEFT($P273,30)&amp;"*"),),)</f>
        <v/>
      </c>
      <c r="P273" s="299"/>
      <c r="Q273" s="156"/>
      <c r="R273" s="279"/>
    </row>
    <row r="274">
      <c r="A274" s="122">
        <v>43361.0</v>
      </c>
      <c r="B274" s="55" t="s">
        <v>268</v>
      </c>
      <c r="C274" s="55" t="s">
        <v>673</v>
      </c>
      <c r="D274" s="55" t="s">
        <v>330</v>
      </c>
      <c r="E274" s="55">
        <v>525.0</v>
      </c>
      <c r="F274" s="264">
        <v>3.811</v>
      </c>
      <c r="G274" s="128">
        <v>-2000.72</v>
      </c>
      <c r="H274" s="55" t="s">
        <v>1194</v>
      </c>
      <c r="I274" s="138">
        <f t="shared" ref="I274:J274" si="278">IFS(AND($B274&lt;&gt;"",$E274&lt;&gt;""),IF(INDEX(N:N,MATCH($C274,$P:$P,0),1)&lt;&gt;"",$E274*INDEX(N:N,MATCH($C274,$P:$P,0),1)+$G274,""),AND($B274&lt;&gt;"",$D274="COST",$G274&lt;0),$G274,TRUE,)</f>
        <v>280.93</v>
      </c>
      <c r="J274" s="138">
        <f t="shared" si="278"/>
        <v>90.03702637</v>
      </c>
      <c r="K274" s="266" t="str">
        <f t="shared" si="3"/>
        <v>iShares Treasury Bond 20+ UCITS USD Dist</v>
      </c>
      <c r="L274" s="302">
        <f t="shared" si="4"/>
        <v>0</v>
      </c>
      <c r="M274" s="302">
        <f t="shared" si="5"/>
        <v>27424.23</v>
      </c>
      <c r="N274" s="155" t="str">
        <f>IF($P274&lt;&gt;"",IF(MAXIFS(Investment!$M:$M,Investment!$H:$H,LEFT($P274,30)&amp;"*"),MAXIFS(Investment!$M:$M,Investment!$H:$H,LEFT($P274,30)&amp;"*"),),)</f>
        <v/>
      </c>
      <c r="O274" s="158" t="str">
        <f>IF($P274&lt;&gt;"",IF(MAXIFS(Investment!$AH:$AH,Investment!$H:$H,LEFT($P274,30)&amp;"*"),MAXIFS(Investment!$AH:$AH,Investment!$H:$H,LEFT($P274,30)&amp;"*"),),)</f>
        <v/>
      </c>
      <c r="P274" s="299"/>
      <c r="Q274" s="156"/>
      <c r="R274" s="279"/>
    </row>
    <row r="275">
      <c r="A275" s="122">
        <v>43357.0</v>
      </c>
      <c r="B275" s="55"/>
      <c r="C275" s="55"/>
      <c r="D275" s="55" t="s">
        <v>312</v>
      </c>
      <c r="E275" s="55"/>
      <c r="F275" s="264"/>
      <c r="G275" s="128">
        <v>440.0</v>
      </c>
      <c r="H275" s="55" t="s">
        <v>1195</v>
      </c>
      <c r="I275" s="138" t="str">
        <f t="shared" ref="I275:J275" si="279">IFS(AND($B275&lt;&gt;"",$E275&lt;&gt;""),IF(INDEX(N:N,MATCH($C275,$P:$P,0),1)&lt;&gt;"",$E275*INDEX(N:N,MATCH($C275,$P:$P,0),1)+$G275,""),AND($B275&lt;&gt;"",$D275="COST",$G275&lt;0),$G275,TRUE,)</f>
        <v/>
      </c>
      <c r="J275" s="138" t="str">
        <f t="shared" si="279"/>
        <v/>
      </c>
      <c r="K275" s="266" t="str">
        <f t="shared" si="3"/>
        <v/>
      </c>
      <c r="L275" s="302" t="str">
        <f t="shared" si="4"/>
        <v/>
      </c>
      <c r="M275" s="302" t="str">
        <f t="shared" si="5"/>
        <v/>
      </c>
      <c r="N275" s="155" t="str">
        <f>IF($P275&lt;&gt;"",IF(MAXIFS(Investment!$M:$M,Investment!$H:$H,LEFT($P275,30)&amp;"*"),MAXIFS(Investment!$M:$M,Investment!$H:$H,LEFT($P275,30)&amp;"*"),),)</f>
        <v/>
      </c>
      <c r="O275" s="158" t="str">
        <f>IF($P275&lt;&gt;"",IF(MAXIFS(Investment!$AH:$AH,Investment!$H:$H,LEFT($P275,30)&amp;"*"),MAXIFS(Investment!$AH:$AH,Investment!$H:$H,LEFT($P275,30)&amp;"*"),),)</f>
        <v/>
      </c>
      <c r="P275" s="299"/>
      <c r="Q275" s="156"/>
      <c r="R275" s="279"/>
    </row>
    <row r="276">
      <c r="A276" s="122">
        <v>43354.0</v>
      </c>
      <c r="B276" s="55"/>
      <c r="C276" s="55"/>
      <c r="D276" s="55" t="s">
        <v>312</v>
      </c>
      <c r="E276" s="55"/>
      <c r="F276" s="264"/>
      <c r="G276" s="128">
        <v>-500.0</v>
      </c>
      <c r="H276" s="55" t="s">
        <v>484</v>
      </c>
      <c r="I276" s="138" t="str">
        <f t="shared" ref="I276:J276" si="280">IFS(AND($B276&lt;&gt;"",$E276&lt;&gt;""),IF(INDEX(N:N,MATCH($C276,$P:$P,0),1)&lt;&gt;"",$E276*INDEX(N:N,MATCH($C276,$P:$P,0),1)+$G276,""),AND($B276&lt;&gt;"",$D276="COST",$G276&lt;0),$G276,TRUE,)</f>
        <v/>
      </c>
      <c r="J276" s="138" t="str">
        <f t="shared" si="280"/>
        <v/>
      </c>
      <c r="K276" s="266" t="str">
        <f t="shared" si="3"/>
        <v/>
      </c>
      <c r="L276" s="302" t="str">
        <f t="shared" si="4"/>
        <v/>
      </c>
      <c r="M276" s="302" t="str">
        <f t="shared" si="5"/>
        <v/>
      </c>
      <c r="N276" s="155" t="str">
        <f>IF($P276&lt;&gt;"",IF(MAXIFS(Investment!$M:$M,Investment!$H:$H,LEFT($P276,30)&amp;"*"),MAXIFS(Investment!$M:$M,Investment!$H:$H,LEFT($P276,30)&amp;"*"),),)</f>
        <v/>
      </c>
      <c r="O276" s="158" t="str">
        <f>IF($P276&lt;&gt;"",IF(MAXIFS(Investment!$AH:$AH,Investment!$H:$H,LEFT($P276,30)&amp;"*"),MAXIFS(Investment!$AH:$AH,Investment!$H:$H,LEFT($P276,30)&amp;"*"),),)</f>
        <v/>
      </c>
      <c r="P276" s="299"/>
      <c r="Q276" s="156"/>
      <c r="R276" s="279"/>
    </row>
    <row r="277">
      <c r="A277" s="122">
        <v>43350.0</v>
      </c>
      <c r="B277" s="55" t="s">
        <v>268</v>
      </c>
      <c r="C277" s="55" t="s">
        <v>1196</v>
      </c>
      <c r="D277" s="55" t="s">
        <v>272</v>
      </c>
      <c r="E277" s="55"/>
      <c r="F277" s="264"/>
      <c r="G277" s="128">
        <v>-12.85</v>
      </c>
      <c r="H277" s="55" t="s">
        <v>1197</v>
      </c>
      <c r="I277" s="138" t="str">
        <f t="shared" ref="I277:J277" si="281">IFS(AND($B277&lt;&gt;"",$E277&lt;&gt;""),IF(INDEX(N:N,MATCH($C277,$P:$P,0),1)&lt;&gt;"",$E277*INDEX(N:N,MATCH($C277,$P:$P,0),1)+$G277,""),AND($B277&lt;&gt;"",$D277="COST",$G277&lt;0),$G277,TRUE,)</f>
        <v/>
      </c>
      <c r="J277" s="138" t="str">
        <f t="shared" si="281"/>
        <v/>
      </c>
      <c r="K277" s="266" t="str">
        <f t="shared" si="3"/>
        <v>Vanguard Extended Duration Treasury ETF</v>
      </c>
      <c r="L277" s="302">
        <f t="shared" si="4"/>
        <v>0</v>
      </c>
      <c r="M277" s="302">
        <f t="shared" si="5"/>
        <v>-4941.36</v>
      </c>
      <c r="N277" s="155" t="str">
        <f>IF($P277&lt;&gt;"",IF(MAXIFS(Investment!$M:$M,Investment!$H:$H,LEFT($P277,30)&amp;"*"),MAXIFS(Investment!$M:$M,Investment!$H:$H,LEFT($P277,30)&amp;"*"),),)</f>
        <v/>
      </c>
      <c r="O277" s="158" t="str">
        <f>IF($P277&lt;&gt;"",IF(MAXIFS(Investment!$AH:$AH,Investment!$H:$H,LEFT($P277,30)&amp;"*"),MAXIFS(Investment!$AH:$AH,Investment!$H:$H,LEFT($P277,30)&amp;"*"),),)</f>
        <v/>
      </c>
      <c r="P277" s="299"/>
      <c r="Q277" s="156"/>
      <c r="R277" s="279"/>
    </row>
    <row r="278">
      <c r="A278" s="122">
        <v>43349.0</v>
      </c>
      <c r="B278" s="55" t="s">
        <v>268</v>
      </c>
      <c r="C278" s="55" t="s">
        <v>1196</v>
      </c>
      <c r="D278" s="55" t="s">
        <v>272</v>
      </c>
      <c r="E278" s="55"/>
      <c r="F278" s="264"/>
      <c r="G278" s="128">
        <v>91.39</v>
      </c>
      <c r="H278" s="55" t="s">
        <v>1198</v>
      </c>
      <c r="I278" s="138" t="str">
        <f t="shared" ref="I278:J278" si="282">IFS(AND($B278&lt;&gt;"",$E278&lt;&gt;""),IF(INDEX(N:N,MATCH($C278,$P:$P,0),1)&lt;&gt;"",$E278*INDEX(N:N,MATCH($C278,$P:$P,0),1)+$G278,""),AND($B278&lt;&gt;"",$D278="COST",$G278&lt;0),$G278,TRUE,)</f>
        <v/>
      </c>
      <c r="J278" s="138" t="str">
        <f t="shared" si="282"/>
        <v/>
      </c>
      <c r="K278" s="266" t="str">
        <f t="shared" si="3"/>
        <v>Vanguard Extended Duration Treasury ETF</v>
      </c>
      <c r="L278" s="302">
        <f t="shared" si="4"/>
        <v>0</v>
      </c>
      <c r="M278" s="302">
        <f t="shared" si="5"/>
        <v>-4941.36</v>
      </c>
      <c r="N278" s="155" t="str">
        <f>IF($P278&lt;&gt;"",IF(MAXIFS(Investment!$M:$M,Investment!$H:$H,LEFT($P278,30)&amp;"*"),MAXIFS(Investment!$M:$M,Investment!$H:$H,LEFT($P278,30)&amp;"*"),),)</f>
        <v/>
      </c>
      <c r="O278" s="158" t="str">
        <f>IF($P278&lt;&gt;"",IF(MAXIFS(Investment!$AH:$AH,Investment!$H:$H,LEFT($P278,30)&amp;"*"),MAXIFS(Investment!$AH:$AH,Investment!$H:$H,LEFT($P278,30)&amp;"*"),),)</f>
        <v/>
      </c>
      <c r="P278" s="299"/>
      <c r="Q278" s="156"/>
      <c r="R278" s="279"/>
    </row>
    <row r="279">
      <c r="A279" s="122">
        <v>43349.0</v>
      </c>
      <c r="B279" s="55" t="s">
        <v>268</v>
      </c>
      <c r="C279" s="55" t="s">
        <v>673</v>
      </c>
      <c r="D279" s="55" t="s">
        <v>378</v>
      </c>
      <c r="E279" s="55"/>
      <c r="F279" s="264"/>
      <c r="G279" s="128">
        <v>-2.26</v>
      </c>
      <c r="H279" s="55" t="s">
        <v>406</v>
      </c>
      <c r="I279" s="138">
        <f t="shared" ref="I279:J279" si="283">IFS(AND($B279&lt;&gt;"",$E279&lt;&gt;""),IF(INDEX(N:N,MATCH($C279,$P:$P,0),1)&lt;&gt;"",$E279*INDEX(N:N,MATCH($C279,$P:$P,0),1)+$G279,""),AND($B279&lt;&gt;"",$D279="COST",$G279&lt;0),$G279,TRUE,)</f>
        <v>-2.26</v>
      </c>
      <c r="J279" s="138">
        <f t="shared" si="283"/>
        <v>-2.26</v>
      </c>
      <c r="K279" s="266" t="str">
        <f t="shared" si="3"/>
        <v>iShares Treasury Bond 20+ UCITS USD Dist</v>
      </c>
      <c r="L279" s="302">
        <f t="shared" si="4"/>
        <v>0</v>
      </c>
      <c r="M279" s="302">
        <f t="shared" si="5"/>
        <v>27424.23</v>
      </c>
      <c r="N279" s="155" t="str">
        <f>IF($P279&lt;&gt;"",IF(MAXIFS(Investment!$M:$M,Investment!$H:$H,LEFT($P279,30)&amp;"*"),MAXIFS(Investment!$M:$M,Investment!$H:$H,LEFT($P279,30)&amp;"*"),),)</f>
        <v/>
      </c>
      <c r="O279" s="158" t="str">
        <f>IF($P279&lt;&gt;"",IF(MAXIFS(Investment!$AH:$AH,Investment!$H:$H,LEFT($P279,30)&amp;"*"),MAXIFS(Investment!$AH:$AH,Investment!$H:$H,LEFT($P279,30)&amp;"*"),),)</f>
        <v/>
      </c>
      <c r="P279" s="299"/>
      <c r="Q279" s="156"/>
      <c r="R279" s="279"/>
    </row>
    <row r="280">
      <c r="A280" s="122">
        <v>43349.0</v>
      </c>
      <c r="B280" s="55" t="s">
        <v>268</v>
      </c>
      <c r="C280" s="55" t="s">
        <v>673</v>
      </c>
      <c r="D280" s="55" t="s">
        <v>330</v>
      </c>
      <c r="E280" s="55">
        <v>336.0</v>
      </c>
      <c r="F280" s="264">
        <v>3.874</v>
      </c>
      <c r="G280" s="128">
        <v>-1301.59</v>
      </c>
      <c r="H280" s="55" t="s">
        <v>1199</v>
      </c>
      <c r="I280" s="138">
        <f t="shared" ref="I280:J280" si="284">IFS(AND($B280&lt;&gt;"",$E280&lt;&gt;""),IF(INDEX(N:N,MATCH($C280,$P:$P,0),1)&lt;&gt;"",$E280*INDEX(N:N,MATCH($C280,$P:$P,0),1)+$G280,""),AND($B280&lt;&gt;"",$D280="COST",$G280&lt;0),$G280,TRUE,)</f>
        <v>158.666</v>
      </c>
      <c r="J280" s="138">
        <f t="shared" si="284"/>
        <v>36.49449687</v>
      </c>
      <c r="K280" s="266" t="str">
        <f t="shared" si="3"/>
        <v>iShares Treasury Bond 20+ UCITS USD Dist</v>
      </c>
      <c r="L280" s="302">
        <f t="shared" si="4"/>
        <v>0</v>
      </c>
      <c r="M280" s="302">
        <f t="shared" si="5"/>
        <v>27424.23</v>
      </c>
      <c r="N280" s="155" t="str">
        <f>IF($P280&lt;&gt;"",IF(MAXIFS(Investment!$M:$M,Investment!$H:$H,LEFT($P280,30)&amp;"*"),MAXIFS(Investment!$M:$M,Investment!$H:$H,LEFT($P280,30)&amp;"*"),),)</f>
        <v/>
      </c>
      <c r="O280" s="158" t="str">
        <f>IF($P280&lt;&gt;"",IF(MAXIFS(Investment!$AH:$AH,Investment!$H:$H,LEFT($P280,30)&amp;"*"),MAXIFS(Investment!$AH:$AH,Investment!$H:$H,LEFT($P280,30)&amp;"*"),),)</f>
        <v/>
      </c>
      <c r="P280" s="299"/>
      <c r="Q280" s="156"/>
      <c r="R280" s="279"/>
    </row>
    <row r="281">
      <c r="A281" s="122">
        <v>43346.0</v>
      </c>
      <c r="B281" s="55"/>
      <c r="C281" s="55"/>
      <c r="D281" s="55" t="s">
        <v>378</v>
      </c>
      <c r="E281" s="55"/>
      <c r="F281" s="264"/>
      <c r="G281" s="128">
        <v>-573.99</v>
      </c>
      <c r="H281" s="55" t="s">
        <v>1200</v>
      </c>
      <c r="I281" s="138" t="str">
        <f t="shared" ref="I281:J281" si="285">IFS(AND($B281&lt;&gt;"",$E281&lt;&gt;""),IF(INDEX(N:N,MATCH($C281,$P:$P,0),1)&lt;&gt;"",$E281*INDEX(N:N,MATCH($C281,$P:$P,0),1)+$G281,""),AND($B281&lt;&gt;"",$D281="COST",$G281&lt;0),$G281,TRUE,)</f>
        <v/>
      </c>
      <c r="J281" s="138" t="str">
        <f t="shared" si="285"/>
        <v/>
      </c>
      <c r="K281" s="266" t="str">
        <f t="shared" si="3"/>
        <v/>
      </c>
      <c r="L281" s="302" t="str">
        <f t="shared" si="4"/>
        <v/>
      </c>
      <c r="M281" s="302" t="str">
        <f t="shared" si="5"/>
        <v/>
      </c>
      <c r="N281" s="155" t="str">
        <f>IF($P281&lt;&gt;"",IF(MAXIFS(Investment!$M:$M,Investment!$H:$H,LEFT($P281,30)&amp;"*"),MAXIFS(Investment!$M:$M,Investment!$H:$H,LEFT($P281,30)&amp;"*"),),)</f>
        <v/>
      </c>
      <c r="O281" s="158" t="str">
        <f>IF($P281&lt;&gt;"",IF(MAXIFS(Investment!$AH:$AH,Investment!$H:$H,LEFT($P281,30)&amp;"*"),MAXIFS(Investment!$AH:$AH,Investment!$H:$H,LEFT($P281,30)&amp;"*"),),)</f>
        <v/>
      </c>
      <c r="P281" s="299"/>
      <c r="Q281" s="156"/>
      <c r="R281" s="279"/>
    </row>
    <row r="282">
      <c r="A282" s="122">
        <v>43342.0</v>
      </c>
      <c r="B282" s="55" t="s">
        <v>317</v>
      </c>
      <c r="C282" s="55" t="s">
        <v>318</v>
      </c>
      <c r="D282" s="55" t="s">
        <v>330</v>
      </c>
      <c r="E282" s="55">
        <v>12.0</v>
      </c>
      <c r="F282" s="264">
        <v>98.34</v>
      </c>
      <c r="G282" s="128">
        <v>-1180.08</v>
      </c>
      <c r="H282" s="55" t="s">
        <v>1201</v>
      </c>
      <c r="I282" s="138">
        <f t="shared" ref="I282:J282" si="286">IFS(AND($B282&lt;&gt;"",$E282&lt;&gt;""),IF(INDEX(N:N,MATCH($C282,$P:$P,0),1)&lt;&gt;"",$E282*INDEX(N:N,MATCH($C282,$P:$P,0),1)+$G282,""),AND($B282&lt;&gt;"",$D282="COST",$G282&lt;0),$G282,TRUE,)</f>
        <v>237.12</v>
      </c>
      <c r="J282" s="138">
        <f t="shared" si="286"/>
        <v>88.3565625</v>
      </c>
      <c r="K282" s="266" t="str">
        <f t="shared" si="3"/>
        <v>ETFS Physical Gold</v>
      </c>
      <c r="L282" s="302">
        <f t="shared" si="4"/>
        <v>443</v>
      </c>
      <c r="M282" s="302">
        <f t="shared" si="5"/>
        <v>-44918.1</v>
      </c>
      <c r="N282" s="155" t="str">
        <f>IF($P282&lt;&gt;"",IF(MAXIFS(Investment!$M:$M,Investment!$H:$H,LEFT($P282,30)&amp;"*"),MAXIFS(Investment!$M:$M,Investment!$H:$H,LEFT($P282,30)&amp;"*"),),)</f>
        <v/>
      </c>
      <c r="O282" s="158" t="str">
        <f>IF($P282&lt;&gt;"",IF(MAXIFS(Investment!$AH:$AH,Investment!$H:$H,LEFT($P282,30)&amp;"*"),MAXIFS(Investment!$AH:$AH,Investment!$H:$H,LEFT($P282,30)&amp;"*"),),)</f>
        <v/>
      </c>
      <c r="P282" s="299"/>
      <c r="Q282" s="156"/>
      <c r="R282" s="279"/>
    </row>
    <row r="283">
      <c r="A283" s="122">
        <v>43341.0</v>
      </c>
      <c r="B283" s="55" t="s">
        <v>328</v>
      </c>
      <c r="C283" s="55" t="s">
        <v>329</v>
      </c>
      <c r="D283" s="55" t="s">
        <v>330</v>
      </c>
      <c r="E283" s="55">
        <v>305.0</v>
      </c>
      <c r="F283" s="264">
        <v>7.26</v>
      </c>
      <c r="G283" s="128">
        <v>-2214.3</v>
      </c>
      <c r="H283" s="55" t="s">
        <v>1202</v>
      </c>
      <c r="I283" s="138">
        <f t="shared" ref="I283:J283" si="287">IFS(AND($B283&lt;&gt;"",$E283&lt;&gt;""),IF(INDEX(N:N,MATCH($C283,$P:$P,0),1)&lt;&gt;"",$E283*INDEX(N:N,MATCH($C283,$P:$P,0),1)+$G283,""),AND($B283&lt;&gt;"",$D283="COST",$G283&lt;0),$G283,TRUE,)</f>
        <v>-17.69</v>
      </c>
      <c r="J283" s="138">
        <f t="shared" si="287"/>
        <v>18.71818359</v>
      </c>
      <c r="K283" s="266" t="str">
        <f t="shared" si="3"/>
        <v>ETFS All Commodities ETC</v>
      </c>
      <c r="L283" s="302">
        <f t="shared" si="4"/>
        <v>11470</v>
      </c>
      <c r="M283" s="302">
        <f t="shared" si="5"/>
        <v>-83154.49</v>
      </c>
      <c r="N283" s="155" t="str">
        <f>IF($P283&lt;&gt;"",IF(MAXIFS(Investment!$M:$M,Investment!$H:$H,LEFT($P283,30)&amp;"*"),MAXIFS(Investment!$M:$M,Investment!$H:$H,LEFT($P283,30)&amp;"*"),),)</f>
        <v/>
      </c>
      <c r="O283" s="158" t="str">
        <f>IF($P283&lt;&gt;"",IF(MAXIFS(Investment!$AH:$AH,Investment!$H:$H,LEFT($P283,30)&amp;"*"),MAXIFS(Investment!$AH:$AH,Investment!$H:$H,LEFT($P283,30)&amp;"*"),),)</f>
        <v/>
      </c>
      <c r="P283" s="299"/>
      <c r="Q283" s="156"/>
      <c r="R283" s="279"/>
    </row>
    <row r="284">
      <c r="A284" s="122">
        <v>43341.0</v>
      </c>
      <c r="B284" s="55" t="s">
        <v>364</v>
      </c>
      <c r="C284" s="55" t="s">
        <v>366</v>
      </c>
      <c r="D284" s="55" t="s">
        <v>330</v>
      </c>
      <c r="E284" s="55">
        <v>8.0</v>
      </c>
      <c r="F284" s="264">
        <v>162.34</v>
      </c>
      <c r="G284" s="128">
        <v>-1298.72</v>
      </c>
      <c r="H284" s="55" t="s">
        <v>1203</v>
      </c>
      <c r="I284" s="138">
        <f t="shared" ref="I284:J284" si="288">IFS(AND($B284&lt;&gt;"",$E284&lt;&gt;""),IF(INDEX(N:N,MATCH($C284,$P:$P,0),1)&lt;&gt;"",$E284*INDEX(N:N,MATCH($C284,$P:$P,0),1)+$G284,""),AND($B284&lt;&gt;"",$D284="COST",$G284&lt;0),$G284,TRUE,)</f>
        <v>121.28</v>
      </c>
      <c r="J284" s="138">
        <f t="shared" si="288"/>
        <v>43.4003125</v>
      </c>
      <c r="K284" s="266" t="str">
        <f t="shared" si="3"/>
        <v>iShares Treasury Bond 7-10 UCITS</v>
      </c>
      <c r="L284" s="302">
        <f t="shared" si="4"/>
        <v>597</v>
      </c>
      <c r="M284" s="302">
        <f t="shared" si="5"/>
        <v>-91106.6</v>
      </c>
      <c r="N284" s="155" t="str">
        <f>IF($P284&lt;&gt;"",IF(MAXIFS(Investment!$M:$M,Investment!$H:$H,LEFT($P284,30)&amp;"*"),MAXIFS(Investment!$M:$M,Investment!$H:$H,LEFT($P284,30)&amp;"*"),),)</f>
        <v/>
      </c>
      <c r="O284" s="158" t="str">
        <f>IF($P284&lt;&gt;"",IF(MAXIFS(Investment!$AH:$AH,Investment!$H:$H,LEFT($P284,30)&amp;"*"),MAXIFS(Investment!$AH:$AH,Investment!$H:$H,LEFT($P284,30)&amp;"*"),),)</f>
        <v/>
      </c>
      <c r="P284" s="299"/>
      <c r="Q284" s="156"/>
      <c r="R284" s="279"/>
    </row>
    <row r="285">
      <c r="A285" s="122">
        <v>43341.0</v>
      </c>
      <c r="B285" s="55" t="s">
        <v>268</v>
      </c>
      <c r="C285" s="55" t="s">
        <v>673</v>
      </c>
      <c r="D285" s="55" t="s">
        <v>378</v>
      </c>
      <c r="E285" s="55"/>
      <c r="F285" s="264"/>
      <c r="G285" s="128">
        <v>-2.39</v>
      </c>
      <c r="H285" s="55" t="s">
        <v>1204</v>
      </c>
      <c r="I285" s="138">
        <f t="shared" ref="I285:J285" si="289">IFS(AND($B285&lt;&gt;"",$E285&lt;&gt;""),IF(INDEX(N:N,MATCH($C285,$P:$P,0),1)&lt;&gt;"",$E285*INDEX(N:N,MATCH($C285,$P:$P,0),1)+$G285,""),AND($B285&lt;&gt;"",$D285="COST",$G285&lt;0),$G285,TRUE,)</f>
        <v>-2.39</v>
      </c>
      <c r="J285" s="138">
        <f t="shared" si="289"/>
        <v>-2.39</v>
      </c>
      <c r="K285" s="266" t="str">
        <f t="shared" si="3"/>
        <v>iShares Treasury Bond 20+ UCITS USD Dist</v>
      </c>
      <c r="L285" s="302">
        <f t="shared" si="4"/>
        <v>0</v>
      </c>
      <c r="M285" s="302">
        <f t="shared" si="5"/>
        <v>27424.23</v>
      </c>
      <c r="N285" s="155" t="str">
        <f>IF($P285&lt;&gt;"",IF(MAXIFS(Investment!$M:$M,Investment!$H:$H,LEFT($P285,30)&amp;"*"),MAXIFS(Investment!$M:$M,Investment!$H:$H,LEFT($P285,30)&amp;"*"),),)</f>
        <v/>
      </c>
      <c r="O285" s="158" t="str">
        <f>IF($P285&lt;&gt;"",IF(MAXIFS(Investment!$AH:$AH,Investment!$H:$H,LEFT($P285,30)&amp;"*"),MAXIFS(Investment!$AH:$AH,Investment!$H:$H,LEFT($P285,30)&amp;"*"),),)</f>
        <v/>
      </c>
      <c r="P285" s="299"/>
      <c r="Q285" s="156"/>
      <c r="R285" s="279"/>
    </row>
    <row r="286">
      <c r="A286" s="122">
        <v>43341.0</v>
      </c>
      <c r="B286" s="55" t="s">
        <v>268</v>
      </c>
      <c r="C286" s="55" t="s">
        <v>673</v>
      </c>
      <c r="D286" s="55" t="s">
        <v>330</v>
      </c>
      <c r="E286" s="55">
        <v>500.0</v>
      </c>
      <c r="F286" s="264">
        <v>3.891</v>
      </c>
      <c r="G286" s="128">
        <v>-1945.61</v>
      </c>
      <c r="H286" s="55" t="s">
        <v>1205</v>
      </c>
      <c r="I286" s="138">
        <f t="shared" ref="I286:J286" si="290">IFS(AND($B286&lt;&gt;"",$E286&lt;&gt;""),IF(INDEX(N:N,MATCH($C286,$P:$P,0),1)&lt;&gt;"",$E286*INDEX(N:N,MATCH($C286,$P:$P,0),1)+$G286,""),AND($B286&lt;&gt;"",$D286="COST",$G286&lt;0),$G286,TRUE,)</f>
        <v>227.39</v>
      </c>
      <c r="J286" s="138">
        <f t="shared" si="290"/>
        <v>45.58716797</v>
      </c>
      <c r="K286" s="266" t="str">
        <f t="shared" si="3"/>
        <v>iShares Treasury Bond 20+ UCITS USD Dist</v>
      </c>
      <c r="L286" s="302">
        <f t="shared" si="4"/>
        <v>0</v>
      </c>
      <c r="M286" s="302">
        <f t="shared" si="5"/>
        <v>27424.23</v>
      </c>
      <c r="N286" s="155" t="str">
        <f>IF($P286&lt;&gt;"",IF(MAXIFS(Investment!$M:$M,Investment!$H:$H,LEFT($P286,30)&amp;"*"),MAXIFS(Investment!$M:$M,Investment!$H:$H,LEFT($P286,30)&amp;"*"),),)</f>
        <v/>
      </c>
      <c r="O286" s="158" t="str">
        <f>IF($P286&lt;&gt;"",IF(MAXIFS(Investment!$AH:$AH,Investment!$H:$H,LEFT($P286,30)&amp;"*"),MAXIFS(Investment!$AH:$AH,Investment!$H:$H,LEFT($P286,30)&amp;"*"),),)</f>
        <v/>
      </c>
      <c r="P286" s="299"/>
      <c r="Q286" s="156"/>
      <c r="R286" s="279"/>
    </row>
    <row r="287">
      <c r="A287" s="122">
        <v>43341.0</v>
      </c>
      <c r="B287" s="55" t="s">
        <v>268</v>
      </c>
      <c r="C287" s="55" t="s">
        <v>673</v>
      </c>
      <c r="D287" s="55" t="s">
        <v>378</v>
      </c>
      <c r="E287" s="55"/>
      <c r="F287" s="264"/>
      <c r="G287" s="128">
        <v>-3.15</v>
      </c>
      <c r="H287" s="55" t="s">
        <v>1206</v>
      </c>
      <c r="I287" s="138">
        <f t="shared" ref="I287:J287" si="291">IFS(AND($B287&lt;&gt;"",$E287&lt;&gt;""),IF(INDEX(N:N,MATCH($C287,$P:$P,0),1)&lt;&gt;"",$E287*INDEX(N:N,MATCH($C287,$P:$P,0),1)+$G287,""),AND($B287&lt;&gt;"",$D287="COST",$G287&lt;0),$G287,TRUE,)</f>
        <v>-3.15</v>
      </c>
      <c r="J287" s="138">
        <f t="shared" si="291"/>
        <v>-3.15</v>
      </c>
      <c r="K287" s="266" t="str">
        <f t="shared" si="3"/>
        <v>iShares Treasury Bond 20+ UCITS USD Dist</v>
      </c>
      <c r="L287" s="302">
        <f t="shared" si="4"/>
        <v>0</v>
      </c>
      <c r="M287" s="302">
        <f t="shared" si="5"/>
        <v>27424.23</v>
      </c>
      <c r="N287" s="155" t="str">
        <f>IF($P287&lt;&gt;"",IF(MAXIFS(Investment!$M:$M,Investment!$H:$H,LEFT($P287,30)&amp;"*"),MAXIFS(Investment!$M:$M,Investment!$H:$H,LEFT($P287,30)&amp;"*"),),)</f>
        <v/>
      </c>
      <c r="O287" s="158" t="str">
        <f>IF($P287&lt;&gt;"",IF(MAXIFS(Investment!$AH:$AH,Investment!$H:$H,LEFT($P287,30)&amp;"*"),MAXIFS(Investment!$AH:$AH,Investment!$H:$H,LEFT($P287,30)&amp;"*"),),)</f>
        <v/>
      </c>
      <c r="P287" s="299"/>
      <c r="Q287" s="156"/>
      <c r="R287" s="279"/>
    </row>
    <row r="288">
      <c r="A288" s="122">
        <v>43341.0</v>
      </c>
      <c r="B288" s="55" t="s">
        <v>268</v>
      </c>
      <c r="C288" s="55" t="s">
        <v>673</v>
      </c>
      <c r="D288" s="55" t="s">
        <v>330</v>
      </c>
      <c r="E288" s="50">
        <v>1478.0</v>
      </c>
      <c r="F288" s="264">
        <v>3.885</v>
      </c>
      <c r="G288" s="128">
        <v>-5742.57</v>
      </c>
      <c r="H288" s="55" t="s">
        <v>1207</v>
      </c>
      <c r="I288" s="138">
        <f t="shared" ref="I288:J288" si="292">IFS(AND($B288&lt;&gt;"",$E288&lt;&gt;""),IF(INDEX(N:N,MATCH($C288,$P:$P,0),1)&lt;&gt;"",$E288*INDEX(N:N,MATCH($C288,$P:$P,0),1)+$G288,""),AND($B288&lt;&gt;"",$D288="COST",$G288&lt;0),$G288,TRUE,)</f>
        <v>680.818</v>
      </c>
      <c r="J288" s="138">
        <f t="shared" si="292"/>
        <v>143.4088285</v>
      </c>
      <c r="K288" s="266" t="str">
        <f t="shared" si="3"/>
        <v>iShares Treasury Bond 20+ UCITS USD Dist</v>
      </c>
      <c r="L288" s="302">
        <f t="shared" si="4"/>
        <v>0</v>
      </c>
      <c r="M288" s="302">
        <f t="shared" si="5"/>
        <v>27424.23</v>
      </c>
      <c r="N288" s="155" t="str">
        <f>IF($P288&lt;&gt;"",IF(MAXIFS(Investment!$M:$M,Investment!$H:$H,LEFT($P288,30)&amp;"*"),MAXIFS(Investment!$M:$M,Investment!$H:$H,LEFT($P288,30)&amp;"*"),),)</f>
        <v/>
      </c>
      <c r="O288" s="158" t="str">
        <f>IF($P288&lt;&gt;"",IF(MAXIFS(Investment!$AH:$AH,Investment!$H:$H,LEFT($P288,30)&amp;"*"),MAXIFS(Investment!$AH:$AH,Investment!$H:$H,LEFT($P288,30)&amp;"*"),),)</f>
        <v/>
      </c>
      <c r="P288" s="299"/>
      <c r="Q288" s="156"/>
      <c r="R288" s="279"/>
    </row>
    <row r="289">
      <c r="A289" s="122">
        <v>43341.0</v>
      </c>
      <c r="B289" s="55" t="s">
        <v>364</v>
      </c>
      <c r="C289" s="55" t="s">
        <v>366</v>
      </c>
      <c r="D289" s="55" t="s">
        <v>330</v>
      </c>
      <c r="E289" s="55">
        <v>8.0</v>
      </c>
      <c r="F289" s="264">
        <v>162.14</v>
      </c>
      <c r="G289" s="128">
        <v>-1297.12</v>
      </c>
      <c r="H289" s="55" t="s">
        <v>1208</v>
      </c>
      <c r="I289" s="138">
        <f t="shared" ref="I289:J289" si="293">IFS(AND($B289&lt;&gt;"",$E289&lt;&gt;""),IF(INDEX(N:N,MATCH($C289,$P:$P,0),1)&lt;&gt;"",$E289*INDEX(N:N,MATCH($C289,$P:$P,0),1)+$G289,""),AND($B289&lt;&gt;"",$D289="COST",$G289&lt;0),$G289,TRUE,)</f>
        <v>122.88</v>
      </c>
      <c r="J289" s="138">
        <f t="shared" si="293"/>
        <v>45.0003125</v>
      </c>
      <c r="K289" s="266" t="str">
        <f t="shared" si="3"/>
        <v>iShares Treasury Bond 7-10 UCITS</v>
      </c>
      <c r="L289" s="302">
        <f t="shared" si="4"/>
        <v>597</v>
      </c>
      <c r="M289" s="302">
        <f t="shared" si="5"/>
        <v>-91106.6</v>
      </c>
      <c r="N289" s="155" t="str">
        <f>IF($P289&lt;&gt;"",IF(MAXIFS(Investment!$M:$M,Investment!$H:$H,LEFT($P289,30)&amp;"*"),MAXIFS(Investment!$M:$M,Investment!$H:$H,LEFT($P289,30)&amp;"*"),),)</f>
        <v/>
      </c>
      <c r="O289" s="158" t="str">
        <f>IF($P289&lt;&gt;"",IF(MAXIFS(Investment!$AH:$AH,Investment!$H:$H,LEFT($P289,30)&amp;"*"),MAXIFS(Investment!$AH:$AH,Investment!$H:$H,LEFT($P289,30)&amp;"*"),),)</f>
        <v/>
      </c>
      <c r="P289" s="299"/>
      <c r="Q289" s="156"/>
      <c r="R289" s="279"/>
    </row>
    <row r="290">
      <c r="A290" s="122">
        <v>43340.0</v>
      </c>
      <c r="B290" s="55" t="s">
        <v>268</v>
      </c>
      <c r="C290" s="55" t="s">
        <v>673</v>
      </c>
      <c r="D290" s="55" t="s">
        <v>378</v>
      </c>
      <c r="E290" s="55"/>
      <c r="F290" s="264"/>
      <c r="G290" s="128">
        <v>-2.9</v>
      </c>
      <c r="H290" s="55" t="s">
        <v>1209</v>
      </c>
      <c r="I290" s="138">
        <f t="shared" ref="I290:J290" si="294">IFS(AND($B290&lt;&gt;"",$E290&lt;&gt;""),IF(INDEX(N:N,MATCH($C290,$P:$P,0),1)&lt;&gt;"",$E290*INDEX(N:N,MATCH($C290,$P:$P,0),1)+$G290,""),AND($B290&lt;&gt;"",$D290="COST",$G290&lt;0),$G290,TRUE,)</f>
        <v>-2.9</v>
      </c>
      <c r="J290" s="138">
        <f t="shared" si="294"/>
        <v>-2.9</v>
      </c>
      <c r="K290" s="266" t="str">
        <f t="shared" si="3"/>
        <v>iShares Treasury Bond 20+ UCITS USD Dist</v>
      </c>
      <c r="L290" s="302">
        <f t="shared" si="4"/>
        <v>0</v>
      </c>
      <c r="M290" s="302">
        <f t="shared" si="5"/>
        <v>27424.23</v>
      </c>
      <c r="N290" s="155" t="str">
        <f>IF($P290&lt;&gt;"",IF(MAXIFS(Investment!$M:$M,Investment!$H:$H,LEFT($P290,30)&amp;"*"),MAXIFS(Investment!$M:$M,Investment!$H:$H,LEFT($P290,30)&amp;"*"),),)</f>
        <v/>
      </c>
      <c r="O290" s="158" t="str">
        <f>IF($P290&lt;&gt;"",IF(MAXIFS(Investment!$AH:$AH,Investment!$H:$H,LEFT($P290,30)&amp;"*"),MAXIFS(Investment!$AH:$AH,Investment!$H:$H,LEFT($P290,30)&amp;"*"),),)</f>
        <v/>
      </c>
      <c r="P290" s="299"/>
      <c r="Q290" s="156"/>
      <c r="R290" s="279"/>
    </row>
    <row r="291">
      <c r="A291" s="122">
        <v>43340.0</v>
      </c>
      <c r="B291" s="55" t="s">
        <v>268</v>
      </c>
      <c r="C291" s="55" t="s">
        <v>673</v>
      </c>
      <c r="D291" s="55" t="s">
        <v>330</v>
      </c>
      <c r="E291" s="50">
        <v>1154.0</v>
      </c>
      <c r="F291" s="264">
        <v>3.9</v>
      </c>
      <c r="G291" s="128">
        <v>-4500.42</v>
      </c>
      <c r="H291" s="55" t="s">
        <v>1210</v>
      </c>
      <c r="I291" s="138">
        <f t="shared" ref="I291:J291" si="295">IFS(AND($B291&lt;&gt;"",$E291&lt;&gt;""),IF(INDEX(N:N,MATCH($C291,$P:$P,0),1)&lt;&gt;"",$E291*INDEX(N:N,MATCH($C291,$P:$P,0),1)+$G291,""),AND($B291&lt;&gt;"",$D291="COST",$G291&lt;0),$G291,TRUE,)</f>
        <v>514.864</v>
      </c>
      <c r="J291" s="138">
        <f t="shared" si="295"/>
        <v>95.26306367</v>
      </c>
      <c r="K291" s="266" t="str">
        <f t="shared" si="3"/>
        <v>iShares Treasury Bond 20+ UCITS USD Dist</v>
      </c>
      <c r="L291" s="302">
        <f t="shared" si="4"/>
        <v>0</v>
      </c>
      <c r="M291" s="302">
        <f t="shared" si="5"/>
        <v>27424.23</v>
      </c>
      <c r="N291" s="155" t="str">
        <f>IF($P291&lt;&gt;"",IF(MAXIFS(Investment!$M:$M,Investment!$H:$H,LEFT($P291,30)&amp;"*"),MAXIFS(Investment!$M:$M,Investment!$H:$H,LEFT($P291,30)&amp;"*"),),)</f>
        <v/>
      </c>
      <c r="O291" s="158" t="str">
        <f>IF($P291&lt;&gt;"",IF(MAXIFS(Investment!$AH:$AH,Investment!$H:$H,LEFT($P291,30)&amp;"*"),MAXIFS(Investment!$AH:$AH,Investment!$H:$H,LEFT($P291,30)&amp;"*"),),)</f>
        <v/>
      </c>
      <c r="P291" s="299"/>
      <c r="Q291" s="156"/>
      <c r="R291" s="279"/>
    </row>
    <row r="292">
      <c r="A292" s="122">
        <v>43339.0</v>
      </c>
      <c r="B292" s="55" t="s">
        <v>343</v>
      </c>
      <c r="C292" s="55" t="s">
        <v>344</v>
      </c>
      <c r="D292" s="55" t="s">
        <v>330</v>
      </c>
      <c r="E292" s="55">
        <v>84.0</v>
      </c>
      <c r="F292" s="264">
        <v>47.252</v>
      </c>
      <c r="G292" s="128">
        <v>-3969.17</v>
      </c>
      <c r="H292" s="55" t="s">
        <v>1211</v>
      </c>
      <c r="I292" s="138">
        <f t="shared" ref="I292:J292" si="296">IFS(AND($B292&lt;&gt;"",$E292&lt;&gt;""),IF(INDEX(N:N,MATCH($C292,$P:$P,0),1)&lt;&gt;"",$E292*INDEX(N:N,MATCH($C292,$P:$P,0),1)+$G292,""),AND($B292&lt;&gt;"",$D292="COST",$G292&lt;0),$G292,TRUE,)</f>
        <v>121.714</v>
      </c>
      <c r="J292" s="138">
        <f t="shared" si="296"/>
        <v>-70.795625</v>
      </c>
      <c r="K292" s="266" t="str">
        <f t="shared" si="3"/>
        <v>Vanguard S&amp;P 500 UCITS</v>
      </c>
      <c r="L292" s="302">
        <f t="shared" si="4"/>
        <v>4293</v>
      </c>
      <c r="M292" s="302">
        <f t="shared" si="5"/>
        <v>-183260.93</v>
      </c>
      <c r="N292" s="155" t="str">
        <f>IF($P292&lt;&gt;"",IF(MAXIFS(Investment!$M:$M,Investment!$H:$H,LEFT($P292,30)&amp;"*"),MAXIFS(Investment!$M:$M,Investment!$H:$H,LEFT($P292,30)&amp;"*"),),)</f>
        <v/>
      </c>
      <c r="O292" s="158" t="str">
        <f>IF($P292&lt;&gt;"",IF(MAXIFS(Investment!$AH:$AH,Investment!$H:$H,LEFT($P292,30)&amp;"*"),MAXIFS(Investment!$AH:$AH,Investment!$H:$H,LEFT($P292,30)&amp;"*"),),)</f>
        <v/>
      </c>
      <c r="P292" s="299"/>
      <c r="Q292" s="156"/>
      <c r="R292" s="279"/>
    </row>
    <row r="293">
      <c r="A293" s="122">
        <v>43339.0</v>
      </c>
      <c r="B293" s="55" t="s">
        <v>328</v>
      </c>
      <c r="C293" s="55" t="s">
        <v>329</v>
      </c>
      <c r="D293" s="55" t="s">
        <v>330</v>
      </c>
      <c r="E293" s="55">
        <v>443.0</v>
      </c>
      <c r="F293" s="264">
        <v>7.358</v>
      </c>
      <c r="G293" s="128">
        <v>-3259.59</v>
      </c>
      <c r="H293" s="55" t="s">
        <v>1212</v>
      </c>
      <c r="I293" s="138">
        <f t="shared" ref="I293:J293" si="297">IFS(AND($B293&lt;&gt;"",$E293&lt;&gt;""),IF(INDEX(N:N,MATCH($C293,$P:$P,0),1)&lt;&gt;"",$E293*INDEX(N:N,MATCH($C293,$P:$P,0),1)+$G293,""),AND($B293&lt;&gt;"",$D293="COST",$G293&lt;0),$G293,TRUE,)</f>
        <v>-69.104</v>
      </c>
      <c r="J293" s="138">
        <f t="shared" si="297"/>
        <v>-16.22260547</v>
      </c>
      <c r="K293" s="266" t="str">
        <f t="shared" si="3"/>
        <v>ETFS All Commodities ETC</v>
      </c>
      <c r="L293" s="302">
        <f t="shared" si="4"/>
        <v>11470</v>
      </c>
      <c r="M293" s="302">
        <f t="shared" si="5"/>
        <v>-83154.49</v>
      </c>
      <c r="N293" s="155" t="str">
        <f>IF($P293&lt;&gt;"",IF(MAXIFS(Investment!$M:$M,Investment!$H:$H,LEFT($P293,30)&amp;"*"),MAXIFS(Investment!$M:$M,Investment!$H:$H,LEFT($P293,30)&amp;"*"),),)</f>
        <v/>
      </c>
      <c r="O293" s="158" t="str">
        <f>IF($P293&lt;&gt;"",IF(MAXIFS(Investment!$AH:$AH,Investment!$H:$H,LEFT($P293,30)&amp;"*"),MAXIFS(Investment!$AH:$AH,Investment!$H:$H,LEFT($P293,30)&amp;"*"),),)</f>
        <v/>
      </c>
      <c r="P293" s="299"/>
      <c r="Q293" s="156"/>
      <c r="R293" s="279"/>
    </row>
    <row r="294">
      <c r="A294" s="122">
        <v>43339.0</v>
      </c>
      <c r="B294" s="55" t="s">
        <v>364</v>
      </c>
      <c r="C294" s="55" t="s">
        <v>366</v>
      </c>
      <c r="D294" s="55" t="s">
        <v>330</v>
      </c>
      <c r="E294" s="55">
        <v>19.0</v>
      </c>
      <c r="F294" s="264">
        <v>163.99</v>
      </c>
      <c r="G294" s="128">
        <v>-3115.81</v>
      </c>
      <c r="H294" s="55" t="s">
        <v>1213</v>
      </c>
      <c r="I294" s="138">
        <f t="shared" ref="I294:J294" si="298">IFS(AND($B294&lt;&gt;"",$E294&lt;&gt;""),IF(INDEX(N:N,MATCH($C294,$P:$P,0),1)&lt;&gt;"",$E294*INDEX(N:N,MATCH($C294,$P:$P,0),1)+$G294,""),AND($B294&lt;&gt;"",$D294="COST",$G294&lt;0),$G294,TRUE,)</f>
        <v>256.69</v>
      </c>
      <c r="J294" s="138">
        <f t="shared" si="298"/>
        <v>71.72574219</v>
      </c>
      <c r="K294" s="266" t="str">
        <f t="shared" si="3"/>
        <v>iShares Treasury Bond 7-10 UCITS</v>
      </c>
      <c r="L294" s="302">
        <f t="shared" si="4"/>
        <v>597</v>
      </c>
      <c r="M294" s="302">
        <f t="shared" si="5"/>
        <v>-91106.6</v>
      </c>
      <c r="N294" s="155" t="str">
        <f>IF($P294&lt;&gt;"",IF(MAXIFS(Investment!$M:$M,Investment!$H:$H,LEFT($P294,30)&amp;"*"),MAXIFS(Investment!$M:$M,Investment!$H:$H,LEFT($P294,30)&amp;"*"),),)</f>
        <v/>
      </c>
      <c r="O294" s="158" t="str">
        <f>IF($P294&lt;&gt;"",IF(MAXIFS(Investment!$AH:$AH,Investment!$H:$H,LEFT($P294,30)&amp;"*"),MAXIFS(Investment!$AH:$AH,Investment!$H:$H,LEFT($P294,30)&amp;"*"),),)</f>
        <v/>
      </c>
      <c r="P294" s="299"/>
      <c r="Q294" s="156"/>
      <c r="R294" s="279"/>
    </row>
    <row r="295">
      <c r="A295" s="122">
        <v>43339.0</v>
      </c>
      <c r="B295" s="55" t="s">
        <v>317</v>
      </c>
      <c r="C295" s="55" t="s">
        <v>318</v>
      </c>
      <c r="D295" s="55" t="s">
        <v>330</v>
      </c>
      <c r="E295" s="55">
        <v>31.0</v>
      </c>
      <c r="F295" s="264">
        <v>99.36</v>
      </c>
      <c r="G295" s="128">
        <v>-3080.16</v>
      </c>
      <c r="H295" s="55" t="s">
        <v>1214</v>
      </c>
      <c r="I295" s="138">
        <f t="shared" ref="I295:J295" si="299">IFS(AND($B295&lt;&gt;"",$E295&lt;&gt;""),IF(INDEX(N:N,MATCH($C295,$P:$P,0),1)&lt;&gt;"",$E295*INDEX(N:N,MATCH($C295,$P:$P,0),1)+$G295,""),AND($B295&lt;&gt;"",$D295="COST",$G295&lt;0),$G295,TRUE,)</f>
        <v>580.94</v>
      </c>
      <c r="J295" s="138">
        <f t="shared" si="299"/>
        <v>196.6344531</v>
      </c>
      <c r="K295" s="266" t="str">
        <f t="shared" si="3"/>
        <v>ETFS Physical Gold</v>
      </c>
      <c r="L295" s="302">
        <f t="shared" si="4"/>
        <v>443</v>
      </c>
      <c r="M295" s="302">
        <f t="shared" si="5"/>
        <v>-44918.1</v>
      </c>
      <c r="N295" s="155" t="str">
        <f>IF($P295&lt;&gt;"",IF(MAXIFS(Investment!$M:$M,Investment!$H:$H,LEFT($P295,30)&amp;"*"),MAXIFS(Investment!$M:$M,Investment!$H:$H,LEFT($P295,30)&amp;"*"),),)</f>
        <v/>
      </c>
      <c r="O295" s="158" t="str">
        <f>IF($P295&lt;&gt;"",IF(MAXIFS(Investment!$AH:$AH,Investment!$H:$H,LEFT($P295,30)&amp;"*"),MAXIFS(Investment!$AH:$AH,Investment!$H:$H,LEFT($P295,30)&amp;"*"),),)</f>
        <v/>
      </c>
      <c r="P295" s="299"/>
      <c r="Q295" s="156"/>
      <c r="R295" s="279"/>
    </row>
    <row r="296">
      <c r="A296" s="122">
        <v>43318.0</v>
      </c>
      <c r="B296" s="55"/>
      <c r="C296" s="55"/>
      <c r="D296" s="55" t="s">
        <v>378</v>
      </c>
      <c r="F296" s="264"/>
      <c r="G296" s="128">
        <v>-467.55</v>
      </c>
      <c r="H296" s="55" t="s">
        <v>1215</v>
      </c>
      <c r="I296" s="138" t="str">
        <f t="shared" ref="I296:J296" si="300">IFS(AND($B296&lt;&gt;"",$E296&lt;&gt;""),IF(INDEX(N:N,MATCH($C296,$P:$P,0),1)&lt;&gt;"",$E296*INDEX(N:N,MATCH($C296,$P:$P,0),1)+$G296,""),AND($B296&lt;&gt;"",$D296="COST",$G296&lt;0),$G296,TRUE,)</f>
        <v/>
      </c>
      <c r="J296" s="138" t="str">
        <f t="shared" si="300"/>
        <v/>
      </c>
      <c r="K296" s="266" t="str">
        <f t="shared" si="3"/>
        <v/>
      </c>
      <c r="L296" s="302" t="str">
        <f t="shared" si="4"/>
        <v/>
      </c>
      <c r="M296" s="302" t="str">
        <f t="shared" si="5"/>
        <v/>
      </c>
      <c r="N296" s="155" t="str">
        <f>IF($P296&lt;&gt;"",IF(MAXIFS(Investment!$M:$M,Investment!$H:$H,LEFT($P296,30)&amp;"*"),MAXIFS(Investment!$M:$M,Investment!$H:$H,LEFT($P296,30)&amp;"*"),),)</f>
        <v/>
      </c>
      <c r="O296" s="158" t="str">
        <f>IF($P296&lt;&gt;"",IF(MAXIFS(Investment!$AH:$AH,Investment!$H:$H,LEFT($P296,30)&amp;"*"),MAXIFS(Investment!$AH:$AH,Investment!$H:$H,LEFT($P296,30)&amp;"*"),),)</f>
        <v/>
      </c>
      <c r="P296" s="299"/>
      <c r="Q296" s="156"/>
      <c r="R296" s="279"/>
    </row>
    <row r="297">
      <c r="A297" s="122">
        <v>43312.0</v>
      </c>
      <c r="B297" s="55" t="s">
        <v>268</v>
      </c>
      <c r="C297" s="55" t="s">
        <v>673</v>
      </c>
      <c r="D297" s="55" t="s">
        <v>378</v>
      </c>
      <c r="F297" s="264"/>
      <c r="G297" s="128">
        <v>-5.12</v>
      </c>
      <c r="H297" s="55" t="s">
        <v>1216</v>
      </c>
      <c r="I297" s="138">
        <f t="shared" ref="I297:J297" si="301">IFS(AND($B297&lt;&gt;"",$E297&lt;&gt;""),IF(INDEX(N:N,MATCH($C297,$P:$P,0),1)&lt;&gt;"",$E297*INDEX(N:N,MATCH($C297,$P:$P,0),1)+$G297,""),AND($B297&lt;&gt;"",$D297="COST",$G297&lt;0),$G297,TRUE,)</f>
        <v>-5.12</v>
      </c>
      <c r="J297" s="138">
        <f t="shared" si="301"/>
        <v>-5.12</v>
      </c>
      <c r="K297" s="266" t="str">
        <f t="shared" si="3"/>
        <v>iShares Treasury Bond 20+ UCITS USD Dist</v>
      </c>
      <c r="L297" s="302">
        <f t="shared" si="4"/>
        <v>0</v>
      </c>
      <c r="M297" s="302">
        <f t="shared" si="5"/>
        <v>27424.23</v>
      </c>
      <c r="N297" s="155" t="str">
        <f>IF($P297&lt;&gt;"",IF(MAXIFS(Investment!$M:$M,Investment!$H:$H,LEFT($P297,30)&amp;"*"),MAXIFS(Investment!$M:$M,Investment!$H:$H,LEFT($P297,30)&amp;"*"),),)</f>
        <v/>
      </c>
      <c r="O297" s="158" t="str">
        <f>IF($P297&lt;&gt;"",IF(MAXIFS(Investment!$AH:$AH,Investment!$H:$H,LEFT($P297,30)&amp;"*"),MAXIFS(Investment!$AH:$AH,Investment!$H:$H,LEFT($P297,30)&amp;"*"),),)</f>
        <v/>
      </c>
      <c r="P297" s="299"/>
      <c r="Q297" s="156"/>
      <c r="R297" s="279"/>
    </row>
    <row r="298">
      <c r="A298" s="122">
        <v>43312.0</v>
      </c>
      <c r="B298" s="55" t="s">
        <v>268</v>
      </c>
      <c r="C298" s="55" t="s">
        <v>673</v>
      </c>
      <c r="D298" s="55" t="s">
        <v>330</v>
      </c>
      <c r="E298" s="50">
        <v>4074.0</v>
      </c>
      <c r="F298" s="264">
        <v>3.83</v>
      </c>
      <c r="G298" s="128">
        <v>-15601.5</v>
      </c>
      <c r="H298" s="55" t="s">
        <v>1217</v>
      </c>
      <c r="I298" s="138">
        <f t="shared" ref="I298:J298" si="302">IFS(AND($B298&lt;&gt;"",$E298&lt;&gt;""),IF(INDEX(N:N,MATCH($C298,$P:$P,0),1)&lt;&gt;"",$E298*INDEX(N:N,MATCH($C298,$P:$P,0),1)+$G298,""),AND($B298&lt;&gt;"",$D298="COST",$G298&lt;0),$G298,TRUE,)</f>
        <v>2104.104</v>
      </c>
      <c r="J298" s="138">
        <f t="shared" si="302"/>
        <v>622.7745246</v>
      </c>
      <c r="K298" s="266" t="str">
        <f t="shared" si="3"/>
        <v>iShares Treasury Bond 20+ UCITS USD Dist</v>
      </c>
      <c r="L298" s="302">
        <f t="shared" si="4"/>
        <v>0</v>
      </c>
      <c r="M298" s="302">
        <f t="shared" si="5"/>
        <v>27424.23</v>
      </c>
      <c r="N298" s="155" t="str">
        <f>IF($P298&lt;&gt;"",IF(MAXIFS(Investment!$M:$M,Investment!$H:$H,LEFT($P298,30)&amp;"*"),MAXIFS(Investment!$M:$M,Investment!$H:$H,LEFT($P298,30)&amp;"*"),),)</f>
        <v/>
      </c>
      <c r="O298" s="158" t="str">
        <f>IF($P298&lt;&gt;"",IF(MAXIFS(Investment!$AH:$AH,Investment!$H:$H,LEFT($P298,30)&amp;"*"),MAXIFS(Investment!$AH:$AH,Investment!$H:$H,LEFT($P298,30)&amp;"*"),),)</f>
        <v/>
      </c>
      <c r="P298" s="299"/>
      <c r="Q298" s="156"/>
      <c r="R298" s="279"/>
    </row>
    <row r="299">
      <c r="A299" s="122">
        <v>43312.0</v>
      </c>
      <c r="B299" s="55" t="s">
        <v>343</v>
      </c>
      <c r="C299" s="55" t="s">
        <v>344</v>
      </c>
      <c r="D299" s="55" t="s">
        <v>330</v>
      </c>
      <c r="E299" s="55">
        <v>226.0</v>
      </c>
      <c r="F299" s="264">
        <v>45.477</v>
      </c>
      <c r="G299" s="128">
        <v>-10277.8</v>
      </c>
      <c r="H299" s="55" t="s">
        <v>1218</v>
      </c>
      <c r="I299" s="138">
        <f t="shared" ref="I299:J299" si="303">IFS(AND($B299&lt;&gt;"",$E299&lt;&gt;""),IF(INDEX(N:N,MATCH($C299,$P:$P,0),1)&lt;&gt;"",$E299*INDEX(N:N,MATCH($C299,$P:$P,0),1)+$G299,""),AND($B299&lt;&gt;"",$D299="COST",$G299&lt;0),$G299,TRUE,)</f>
        <v>728.626</v>
      </c>
      <c r="J299" s="138">
        <f t="shared" si="303"/>
        <v>210.6834375</v>
      </c>
      <c r="K299" s="266" t="str">
        <f t="shared" si="3"/>
        <v>Vanguard S&amp;P 500 UCITS</v>
      </c>
      <c r="L299" s="302">
        <f t="shared" si="4"/>
        <v>4293</v>
      </c>
      <c r="M299" s="302">
        <f t="shared" si="5"/>
        <v>-183260.93</v>
      </c>
      <c r="N299" s="155" t="str">
        <f>IF($P299&lt;&gt;"",IF(MAXIFS(Investment!$M:$M,Investment!$H:$H,LEFT($P299,30)&amp;"*"),MAXIFS(Investment!$M:$M,Investment!$H:$H,LEFT($P299,30)&amp;"*"),),)</f>
        <v/>
      </c>
      <c r="O299" s="158" t="str">
        <f>IF($P299&lt;&gt;"",IF(MAXIFS(Investment!$AH:$AH,Investment!$H:$H,LEFT($P299,30)&amp;"*"),MAXIFS(Investment!$AH:$AH,Investment!$H:$H,LEFT($P299,30)&amp;"*"),),)</f>
        <v/>
      </c>
      <c r="P299" s="299"/>
      <c r="Q299" s="156"/>
      <c r="R299" s="279"/>
    </row>
    <row r="300">
      <c r="A300" s="122">
        <v>43312.0</v>
      </c>
      <c r="B300" s="55" t="s">
        <v>328</v>
      </c>
      <c r="C300" s="55" t="s">
        <v>329</v>
      </c>
      <c r="D300" s="55" t="s">
        <v>330</v>
      </c>
      <c r="E300" s="55">
        <v>203.0</v>
      </c>
      <c r="F300" s="264">
        <v>7.404</v>
      </c>
      <c r="G300" s="128">
        <v>-1503.01</v>
      </c>
      <c r="H300" s="55" t="s">
        <v>1219</v>
      </c>
      <c r="I300" s="138">
        <f t="shared" ref="I300:J300" si="304">IFS(AND($B300&lt;&gt;"",$E300&lt;&gt;""),IF(INDEX(N:N,MATCH($C300,$P:$P,0),1)&lt;&gt;"",$E300*INDEX(N:N,MATCH($C300,$P:$P,0),1)+$G300,""),AND($B300&lt;&gt;"",$D300="COST",$G300&lt;0),$G300,TRUE,)</f>
        <v>-41.004</v>
      </c>
      <c r="J300" s="138">
        <f t="shared" si="304"/>
        <v>-16.77166797</v>
      </c>
      <c r="K300" s="266" t="str">
        <f t="shared" si="3"/>
        <v>ETFS All Commodities ETC</v>
      </c>
      <c r="L300" s="302">
        <f t="shared" si="4"/>
        <v>11470</v>
      </c>
      <c r="M300" s="302">
        <f t="shared" si="5"/>
        <v>-83154.49</v>
      </c>
      <c r="N300" s="155" t="str">
        <f>IF($P300&lt;&gt;"",IF(MAXIFS(Investment!$M:$M,Investment!$H:$H,LEFT($P300,30)&amp;"*"),MAXIFS(Investment!$M:$M,Investment!$H:$H,LEFT($P300,30)&amp;"*"),),)</f>
        <v/>
      </c>
      <c r="O300" s="158" t="str">
        <f>IF($P300&lt;&gt;"",IF(MAXIFS(Investment!$AH:$AH,Investment!$H:$H,LEFT($P300,30)&amp;"*"),MAXIFS(Investment!$AH:$AH,Investment!$H:$H,LEFT($P300,30)&amp;"*"),),)</f>
        <v/>
      </c>
      <c r="P300" s="299"/>
      <c r="Q300" s="156"/>
      <c r="R300" s="279"/>
    </row>
    <row r="301">
      <c r="A301" s="122">
        <v>43312.0</v>
      </c>
      <c r="B301" s="55" t="s">
        <v>364</v>
      </c>
      <c r="C301" s="55" t="s">
        <v>366</v>
      </c>
      <c r="D301" s="55" t="s">
        <v>330</v>
      </c>
      <c r="E301" s="55">
        <v>36.0</v>
      </c>
      <c r="F301" s="264">
        <v>160.27</v>
      </c>
      <c r="G301" s="128">
        <v>-5769.72</v>
      </c>
      <c r="H301" s="55" t="s">
        <v>1220</v>
      </c>
      <c r="I301" s="138">
        <f t="shared" ref="I301:J301" si="305">IFS(AND($B301&lt;&gt;"",$E301&lt;&gt;""),IF(INDEX(N:N,MATCH($C301,$P:$P,0),1)&lt;&gt;"",$E301*INDEX(N:N,MATCH($C301,$P:$P,0),1)+$G301,""),AND($B301&lt;&gt;"",$D301="COST",$G301&lt;0),$G301,TRUE,)</f>
        <v>620.28</v>
      </c>
      <c r="J301" s="138">
        <f t="shared" si="305"/>
        <v>269.8214062</v>
      </c>
      <c r="K301" s="266" t="str">
        <f t="shared" si="3"/>
        <v>iShares Treasury Bond 7-10 UCITS</v>
      </c>
      <c r="L301" s="302">
        <f t="shared" si="4"/>
        <v>597</v>
      </c>
      <c r="M301" s="302">
        <f t="shared" si="5"/>
        <v>-91106.6</v>
      </c>
      <c r="N301" s="155" t="str">
        <f>IF($P301&lt;&gt;"",IF(MAXIFS(Investment!$M:$M,Investment!$H:$H,LEFT($P301,30)&amp;"*"),MAXIFS(Investment!$M:$M,Investment!$H:$H,LEFT($P301,30)&amp;"*"),),)</f>
        <v/>
      </c>
      <c r="O301" s="158" t="str">
        <f>IF($P301&lt;&gt;"",IF(MAXIFS(Investment!$AH:$AH,Investment!$H:$H,LEFT($P301,30)&amp;"*"),MAXIFS(Investment!$AH:$AH,Investment!$H:$H,LEFT($P301,30)&amp;"*"),),)</f>
        <v/>
      </c>
      <c r="P301" s="299"/>
      <c r="Q301" s="156"/>
      <c r="R301" s="279"/>
    </row>
    <row r="302">
      <c r="A302" s="122">
        <v>43312.0</v>
      </c>
      <c r="B302" s="55" t="s">
        <v>317</v>
      </c>
      <c r="C302" s="55" t="s">
        <v>318</v>
      </c>
      <c r="D302" s="55" t="s">
        <v>330</v>
      </c>
      <c r="E302" s="55">
        <v>29.0</v>
      </c>
      <c r="F302" s="264">
        <v>99.77</v>
      </c>
      <c r="G302" s="128">
        <v>-2893.33</v>
      </c>
      <c r="H302" s="55" t="s">
        <v>1221</v>
      </c>
      <c r="I302" s="138">
        <f t="shared" ref="I302:J302" si="306">IFS(AND($B302&lt;&gt;"",$E302&lt;&gt;""),IF(INDEX(N:N,MATCH($C302,$P:$P,0),1)&lt;&gt;"",$E302*INDEX(N:N,MATCH($C302,$P:$P,0),1)+$G302,""),AND($B302&lt;&gt;"",$D302="COST",$G302&lt;0),$G302,TRUE,)</f>
        <v>531.57</v>
      </c>
      <c r="J302" s="138">
        <f t="shared" si="306"/>
        <v>172.0583594</v>
      </c>
      <c r="K302" s="266" t="str">
        <f t="shared" si="3"/>
        <v>ETFS Physical Gold</v>
      </c>
      <c r="L302" s="302">
        <f t="shared" si="4"/>
        <v>443</v>
      </c>
      <c r="M302" s="302">
        <f t="shared" si="5"/>
        <v>-44918.1</v>
      </c>
      <c r="N302" s="155" t="str">
        <f>IF($P302&lt;&gt;"",IF(MAXIFS(Investment!$M:$M,Investment!$H:$H,LEFT($P302,30)&amp;"*"),MAXIFS(Investment!$M:$M,Investment!$H:$H,LEFT($P302,30)&amp;"*"),),)</f>
        <v/>
      </c>
      <c r="O302" s="158" t="str">
        <f>IF($P302&lt;&gt;"",IF(MAXIFS(Investment!$AH:$AH,Investment!$H:$H,LEFT($P302,30)&amp;"*"),MAXIFS(Investment!$AH:$AH,Investment!$H:$H,LEFT($P302,30)&amp;"*"),),)</f>
        <v/>
      </c>
      <c r="P302" s="299"/>
      <c r="Q302" s="156"/>
      <c r="R302" s="279"/>
    </row>
    <row r="303">
      <c r="A303" s="122">
        <v>43304.0</v>
      </c>
      <c r="B303" s="55" t="s">
        <v>268</v>
      </c>
      <c r="C303" s="55" t="s">
        <v>673</v>
      </c>
      <c r="D303" s="55" t="s">
        <v>378</v>
      </c>
      <c r="E303" s="50"/>
      <c r="F303" s="264"/>
      <c r="G303" s="128">
        <v>-25.99</v>
      </c>
      <c r="H303" s="55" t="s">
        <v>1222</v>
      </c>
      <c r="I303" s="138">
        <f t="shared" ref="I303:J303" si="307">IFS(AND($B303&lt;&gt;"",$E303&lt;&gt;""),IF(INDEX(N:N,MATCH($C303,$P:$P,0),1)&lt;&gt;"",$E303*INDEX(N:N,MATCH($C303,$P:$P,0),1)+$G303,""),AND($B303&lt;&gt;"",$D303="COST",$G303&lt;0),$G303,TRUE,)</f>
        <v>-25.99</v>
      </c>
      <c r="J303" s="138">
        <f t="shared" si="307"/>
        <v>-25.99</v>
      </c>
      <c r="K303" s="266" t="str">
        <f t="shared" si="3"/>
        <v>iShares Treasury Bond 20+ UCITS USD Dist</v>
      </c>
      <c r="L303" s="302">
        <f t="shared" si="4"/>
        <v>0</v>
      </c>
      <c r="M303" s="302">
        <f t="shared" si="5"/>
        <v>27424.23</v>
      </c>
      <c r="N303" s="155" t="str">
        <f>IF($P303&lt;&gt;"",IF(MAXIFS(Investment!$M:$M,Investment!$H:$H,LEFT($P303,30)&amp;"*"),MAXIFS(Investment!$M:$M,Investment!$H:$H,LEFT($P303,30)&amp;"*"),),)</f>
        <v/>
      </c>
      <c r="O303" s="158" t="str">
        <f>IF($P303&lt;&gt;"",IF(MAXIFS(Investment!$AH:$AH,Investment!$H:$H,LEFT($P303,30)&amp;"*"),MAXIFS(Investment!$AH:$AH,Investment!$H:$H,LEFT($P303,30)&amp;"*"),),)</f>
        <v/>
      </c>
      <c r="P303" s="299"/>
      <c r="Q303" s="156"/>
      <c r="R303" s="279"/>
    </row>
    <row r="304">
      <c r="A304" s="122">
        <v>43304.0</v>
      </c>
      <c r="B304" s="55" t="s">
        <v>268</v>
      </c>
      <c r="C304" s="55" t="s">
        <v>673</v>
      </c>
      <c r="D304" s="55" t="s">
        <v>330</v>
      </c>
      <c r="E304" s="50">
        <v>31102.0</v>
      </c>
      <c r="F304" s="264">
        <v>3.857</v>
      </c>
      <c r="G304" s="128">
        <v>-119971.61</v>
      </c>
      <c r="H304" s="55" t="s">
        <v>1223</v>
      </c>
      <c r="I304" s="138">
        <f t="shared" ref="I304:J304" si="308">IFS(AND($B304&lt;&gt;"",$E304&lt;&gt;""),IF(INDEX(N:N,MATCH($C304,$P:$P,0),1)&lt;&gt;"",$E304*INDEX(N:N,MATCH($C304,$P:$P,0),1)+$G304,""),AND($B304&lt;&gt;"",$D304="COST",$G304&lt;0),$G304,TRUE,)</f>
        <v>15197.682</v>
      </c>
      <c r="J304" s="138">
        <f t="shared" si="308"/>
        <v>3888.818636</v>
      </c>
      <c r="K304" s="266" t="str">
        <f t="shared" si="3"/>
        <v>iShares Treasury Bond 20+ UCITS USD Dist</v>
      </c>
      <c r="L304" s="156">
        <f t="shared" si="4"/>
        <v>0</v>
      </c>
      <c r="M304" s="156">
        <f t="shared" si="5"/>
        <v>27424.23</v>
      </c>
      <c r="N304" s="155" t="str">
        <f>IF($P304&lt;&gt;"",IF(MAXIFS(Investment!$M:$M,Investment!$H:$H,LEFT($P304,30)&amp;"*"),MAXIFS(Investment!$M:$M,Investment!$H:$H,LEFT($P304,30)&amp;"*"),),)</f>
        <v/>
      </c>
      <c r="O304" s="158" t="str">
        <f>IF($P304&lt;&gt;"",IF(MAXIFS(Investment!$AH:$AH,Investment!$H:$H,LEFT($P304,30)&amp;"*"),MAXIFS(Investment!$AH:$AH,Investment!$H:$H,LEFT($P304,30)&amp;"*"),),)</f>
        <v/>
      </c>
      <c r="P304" s="299"/>
      <c r="Q304" s="156"/>
      <c r="R304" s="279"/>
    </row>
    <row r="305">
      <c r="A305" s="122">
        <v>43304.0</v>
      </c>
      <c r="B305" s="55" t="s">
        <v>343</v>
      </c>
      <c r="C305" s="55" t="s">
        <v>344</v>
      </c>
      <c r="D305" s="55" t="s">
        <v>330</v>
      </c>
      <c r="E305" s="50">
        <v>1926.0</v>
      </c>
      <c r="F305" s="264">
        <v>45.323</v>
      </c>
      <c r="G305" s="128">
        <v>-87292.1</v>
      </c>
      <c r="H305" s="55" t="s">
        <v>1224</v>
      </c>
      <c r="I305" s="138">
        <f t="shared" ref="I305:J305" si="309">IFS(AND($B305&lt;&gt;"",$E305&lt;&gt;""),IF(INDEX(N:N,MATCH($C305,$P:$P,0),1)&lt;&gt;"",$E305*INDEX(N:N,MATCH($C305,$P:$P,0),1)+$G305,""),AND($B305&lt;&gt;"",$D305="COST",$G305&lt;0),$G305,TRUE,)</f>
        <v>6506.026</v>
      </c>
      <c r="J305" s="138">
        <f t="shared" si="309"/>
        <v>2092.055313</v>
      </c>
      <c r="K305" s="266" t="str">
        <f t="shared" si="3"/>
        <v>Vanguard S&amp;P 500 UCITS</v>
      </c>
      <c r="L305" s="156">
        <f t="shared" si="4"/>
        <v>4293</v>
      </c>
      <c r="M305" s="156">
        <f t="shared" si="5"/>
        <v>-183260.93</v>
      </c>
      <c r="N305" s="155" t="str">
        <f>IF($P305&lt;&gt;"",IF(MAXIFS(Investment!$M:$M,Investment!$H:$H,LEFT($P305,30)&amp;"*"),MAXIFS(Investment!$M:$M,Investment!$H:$H,LEFT($P305,30)&amp;"*"),),)</f>
        <v/>
      </c>
      <c r="O305" s="158" t="str">
        <f>IF($P305&lt;&gt;"",IF(MAXIFS(Investment!$AH:$AH,Investment!$H:$H,LEFT($P305,30)&amp;"*"),MAXIFS(Investment!$AH:$AH,Investment!$H:$H,LEFT($P305,30)&amp;"*"),),)</f>
        <v/>
      </c>
      <c r="P305" s="299"/>
      <c r="Q305" s="156"/>
      <c r="R305" s="279"/>
    </row>
    <row r="306">
      <c r="A306" s="122">
        <v>43304.0</v>
      </c>
      <c r="B306" s="55" t="s">
        <v>364</v>
      </c>
      <c r="C306" s="55" t="s">
        <v>366</v>
      </c>
      <c r="D306" s="55" t="s">
        <v>330</v>
      </c>
      <c r="E306" s="50">
        <v>273.0</v>
      </c>
      <c r="F306" s="264">
        <v>160.85</v>
      </c>
      <c r="G306" s="128">
        <v>-43912.05</v>
      </c>
      <c r="H306" s="55" t="s">
        <v>1225</v>
      </c>
      <c r="I306" s="138">
        <f t="shared" ref="I306:J306" si="310">IFS(AND($B306&lt;&gt;"",$E306&lt;&gt;""),IF(INDEX(N:N,MATCH($C306,$P:$P,0),1)&lt;&gt;"",$E306*INDEX(N:N,MATCH($C306,$P:$P,0),1)+$G306,""),AND($B306&lt;&gt;"",$D306="COST",$G306&lt;0),$G306,TRUE,)</f>
        <v>4545.45</v>
      </c>
      <c r="J306" s="138">
        <f t="shared" si="310"/>
        <v>1887.805664</v>
      </c>
      <c r="K306" s="266" t="str">
        <f t="shared" si="3"/>
        <v>iShares Treasury Bond 7-10 UCITS</v>
      </c>
      <c r="L306" s="156">
        <f t="shared" si="4"/>
        <v>597</v>
      </c>
      <c r="M306" s="156">
        <f t="shared" si="5"/>
        <v>-91106.6</v>
      </c>
      <c r="N306" s="155" t="str">
        <f>IF($P306&lt;&gt;"",IF(MAXIFS(Investment!$M:$M,Investment!$H:$H,LEFT($P306,30)&amp;"*"),MAXIFS(Investment!$M:$M,Investment!$H:$H,LEFT($P306,30)&amp;"*"),),)</f>
        <v/>
      </c>
      <c r="O306" s="158" t="str">
        <f>IF($P306&lt;&gt;"",IF(MAXIFS(Investment!$AH:$AH,Investment!$H:$H,LEFT($P306,30)&amp;"*"),MAXIFS(Investment!$AH:$AH,Investment!$H:$H,LEFT($P306,30)&amp;"*"),),)</f>
        <v/>
      </c>
      <c r="P306" s="299"/>
      <c r="Q306" s="156"/>
      <c r="R306" s="279"/>
    </row>
    <row r="307">
      <c r="A307" s="122">
        <v>43297.0</v>
      </c>
      <c r="B307" s="55" t="s">
        <v>328</v>
      </c>
      <c r="C307" s="55" t="s">
        <v>329</v>
      </c>
      <c r="D307" s="55" t="s">
        <v>330</v>
      </c>
      <c r="E307" s="50">
        <v>3336.0</v>
      </c>
      <c r="F307" s="264">
        <v>7.303</v>
      </c>
      <c r="G307" s="128">
        <v>-24362.81</v>
      </c>
      <c r="H307" s="55" t="s">
        <v>1226</v>
      </c>
      <c r="I307" s="138">
        <f t="shared" ref="I307:J307" si="311">IFS(AND($B307&lt;&gt;"",$E307&lt;&gt;""),IF(INDEX(N:N,MATCH($C307,$P:$P,0),1)&lt;&gt;"",$E307*INDEX(N:N,MATCH($C307,$P:$P,0),1)+$G307,""),AND($B307&lt;&gt;"",$D307="COST",$G307&lt;0),$G307,TRUE,)</f>
        <v>-336.938</v>
      </c>
      <c r="J307" s="138">
        <f t="shared" si="311"/>
        <v>61.28396875</v>
      </c>
      <c r="K307" s="266" t="str">
        <f t="shared" si="3"/>
        <v>ETFS All Commodities ETC</v>
      </c>
      <c r="L307" s="156">
        <f t="shared" si="4"/>
        <v>11470</v>
      </c>
      <c r="M307" s="156">
        <f t="shared" si="5"/>
        <v>-83154.49</v>
      </c>
      <c r="N307" s="155" t="str">
        <f>IF($P307&lt;&gt;"",IF(MAXIFS(Investment!$M:$M,Investment!$H:$H,LEFT($P307,30)&amp;"*"),MAXIFS(Investment!$M:$M,Investment!$H:$H,LEFT($P307,30)&amp;"*"),),)</f>
        <v/>
      </c>
      <c r="O307" s="158" t="str">
        <f>IF($P307&lt;&gt;"",IF(MAXIFS(Investment!$AH:$AH,Investment!$H:$H,LEFT($P307,30)&amp;"*"),MAXIFS(Investment!$AH:$AH,Investment!$H:$H,LEFT($P307,30)&amp;"*"),),)</f>
        <v/>
      </c>
      <c r="P307" s="299"/>
      <c r="Q307" s="156"/>
      <c r="R307" s="279"/>
    </row>
    <row r="308">
      <c r="A308" s="122">
        <v>43297.0</v>
      </c>
      <c r="B308" s="55" t="s">
        <v>317</v>
      </c>
      <c r="C308" s="55" t="s">
        <v>318</v>
      </c>
      <c r="D308" s="55" t="s">
        <v>330</v>
      </c>
      <c r="E308" s="55">
        <v>235.0</v>
      </c>
      <c r="F308" s="264">
        <v>101.75</v>
      </c>
      <c r="G308" s="128">
        <v>-23911.25</v>
      </c>
      <c r="H308" s="55" t="s">
        <v>1227</v>
      </c>
      <c r="I308" s="138">
        <f t="shared" ref="I308:J308" si="312">IFS(AND($B308&lt;&gt;"",$E308&lt;&gt;""),IF(INDEX(N:N,MATCH($C308,$P:$P,0),1)&lt;&gt;"",$E308*INDEX(N:N,MATCH($C308,$P:$P,0),1)+$G308,""),AND($B308&lt;&gt;"",$D308="COST",$G308&lt;0),$G308,TRUE,)</f>
        <v>3842.25</v>
      </c>
      <c r="J308" s="138">
        <f t="shared" si="312"/>
        <v>928.9660156</v>
      </c>
      <c r="K308" s="266" t="str">
        <f t="shared" si="3"/>
        <v>ETFS Physical Gold</v>
      </c>
      <c r="L308" s="156">
        <f t="shared" si="4"/>
        <v>443</v>
      </c>
      <c r="M308" s="156">
        <f t="shared" si="5"/>
        <v>-44918.1</v>
      </c>
      <c r="N308" s="155" t="str">
        <f>IF($P308&lt;&gt;"",IF(MAXIFS(Investment!$M:$M,Investment!$H:$H,LEFT($P308,30)&amp;"*"),MAXIFS(Investment!$M:$M,Investment!$H:$H,LEFT($P308,30)&amp;"*"),),)</f>
        <v/>
      </c>
      <c r="O308" s="158" t="str">
        <f>IF($P308&lt;&gt;"",IF(MAXIFS(Investment!$AH:$AH,Investment!$H:$H,LEFT($P308,30)&amp;"*"),MAXIFS(Investment!$AH:$AH,Investment!$H:$H,LEFT($P308,30)&amp;"*"),),)</f>
        <v/>
      </c>
      <c r="P308" s="299"/>
      <c r="Q308" s="156"/>
      <c r="R308" s="279"/>
    </row>
    <row r="309">
      <c r="A309" s="122">
        <v>43291.0</v>
      </c>
      <c r="B309" s="55"/>
      <c r="C309" s="55"/>
      <c r="D309" s="55" t="s">
        <v>312</v>
      </c>
      <c r="F309" s="264"/>
      <c r="G309" s="128">
        <v>108000.0</v>
      </c>
      <c r="H309" s="55" t="s">
        <v>1228</v>
      </c>
      <c r="I309" s="138" t="str">
        <f t="shared" ref="I309:J309" si="313">IFS(AND($B309&lt;&gt;"",$E309&lt;&gt;""),IF(INDEX(N:N,MATCH($C309,$P:$P,0),1)&lt;&gt;"",$E309*INDEX(N:N,MATCH($C309,$P:$P,0),1)+$G309,""),AND($B309&lt;&gt;"",$D309="COST",$G309&lt;0),$G309,TRUE,)</f>
        <v/>
      </c>
      <c r="J309" s="138" t="str">
        <f t="shared" si="313"/>
        <v/>
      </c>
      <c r="K309" s="266" t="str">
        <f t="shared" si="3"/>
        <v/>
      </c>
      <c r="L309" s="156" t="str">
        <f t="shared" si="4"/>
        <v/>
      </c>
      <c r="M309" s="156" t="str">
        <f t="shared" si="5"/>
        <v/>
      </c>
      <c r="N309" s="155" t="str">
        <f>IF($P309&lt;&gt;"",IF(MAXIFS(Investment!$M:$M,Investment!$H:$H,LEFT($P309,30)&amp;"*"),MAXIFS(Investment!$M:$M,Investment!$H:$H,LEFT($P309,30)&amp;"*"),),)</f>
        <v/>
      </c>
      <c r="O309" s="158" t="str">
        <f>IF($P309&lt;&gt;"",IF(MAXIFS(Investment!$AH:$AH,Investment!$H:$H,LEFT($P309,30)&amp;"*"),MAXIFS(Investment!$AH:$AH,Investment!$H:$H,LEFT($P309,30)&amp;"*"),),)</f>
        <v/>
      </c>
      <c r="P309" s="299"/>
      <c r="Q309" s="156"/>
      <c r="R309" s="279"/>
    </row>
    <row r="310">
      <c r="A310" s="122">
        <v>43287.0</v>
      </c>
      <c r="B310" s="55" t="s">
        <v>343</v>
      </c>
      <c r="C310" s="55" t="s">
        <v>344</v>
      </c>
      <c r="D310" s="55" t="s">
        <v>272</v>
      </c>
      <c r="F310" s="264"/>
      <c r="G310" s="128">
        <v>-72.97</v>
      </c>
      <c r="H310" s="303" t="s">
        <v>1229</v>
      </c>
      <c r="I310" s="138" t="str">
        <f t="shared" ref="I310:J310" si="314">IFS(AND($B310&lt;&gt;"",$E310&lt;&gt;""),IF(INDEX(N:N,MATCH($C310,$P:$P,0),1)&lt;&gt;"",$E310*INDEX(N:N,MATCH($C310,$P:$P,0),1)+$G310,""),AND($B310&lt;&gt;"",$D310="COST",$G310&lt;0),$G310,TRUE,)</f>
        <v/>
      </c>
      <c r="J310" s="138" t="str">
        <f t="shared" si="314"/>
        <v/>
      </c>
      <c r="K310" s="266" t="str">
        <f t="shared" si="3"/>
        <v>Vanguard S&amp;P 500 UCITS</v>
      </c>
      <c r="L310" s="156">
        <f t="shared" si="4"/>
        <v>4293</v>
      </c>
      <c r="M310" s="156">
        <f t="shared" si="5"/>
        <v>-183260.93</v>
      </c>
      <c r="N310" s="155" t="str">
        <f>IF($P310&lt;&gt;"",IF(MAXIFS(Investment!$M:$M,Investment!$H:$H,LEFT($P310,30)&amp;"*"),MAXIFS(Investment!$M:$M,Investment!$H:$H,LEFT($P310,30)&amp;"*"),),)</f>
        <v/>
      </c>
      <c r="O310" s="158" t="str">
        <f>IF($P310&lt;&gt;"",IF(MAXIFS(Investment!$AH:$AH,Investment!$H:$H,LEFT($P310,30)&amp;"*"),MAXIFS(Investment!$AH:$AH,Investment!$H:$H,LEFT($P310,30)&amp;"*"),),)</f>
        <v/>
      </c>
      <c r="P310" s="299"/>
      <c r="Q310" s="156"/>
      <c r="R310" s="279"/>
    </row>
    <row r="311">
      <c r="A311" s="122">
        <v>43286.0</v>
      </c>
      <c r="B311" s="55"/>
      <c r="C311" s="55"/>
      <c r="D311" s="55" t="s">
        <v>378</v>
      </c>
      <c r="F311" s="264"/>
      <c r="G311" s="128">
        <v>-276.19</v>
      </c>
      <c r="H311" s="303" t="s">
        <v>1230</v>
      </c>
      <c r="I311" s="138" t="str">
        <f t="shared" ref="I311:J311" si="315">IFS(AND($B311&lt;&gt;"",$E311&lt;&gt;""),IF(INDEX(N:N,MATCH($C311,$P:$P,0),1)&lt;&gt;"",$E311*INDEX(N:N,MATCH($C311,$P:$P,0),1)+$G311,""),AND($B311&lt;&gt;"",$D311="COST",$G311&lt;0),$G311,TRUE,)</f>
        <v/>
      </c>
      <c r="J311" s="138" t="str">
        <f t="shared" si="315"/>
        <v/>
      </c>
      <c r="K311" s="266" t="str">
        <f t="shared" si="3"/>
        <v/>
      </c>
      <c r="L311" s="156" t="str">
        <f t="shared" si="4"/>
        <v/>
      </c>
      <c r="M311" s="156" t="str">
        <f t="shared" si="5"/>
        <v/>
      </c>
      <c r="N311" s="155" t="str">
        <f>IF($P311&lt;&gt;"",IF(MAXIFS(Investment!$M:$M,Investment!$H:$H,LEFT($P311,30)&amp;"*"),MAXIFS(Investment!$M:$M,Investment!$H:$H,LEFT($P311,30)&amp;"*"),),)</f>
        <v/>
      </c>
      <c r="O311" s="158" t="str">
        <f>IF($P311&lt;&gt;"",IF(MAXIFS(Investment!$AH:$AH,Investment!$H:$H,LEFT($P311,30)&amp;"*"),MAXIFS(Investment!$AH:$AH,Investment!$H:$H,LEFT($P311,30)&amp;"*"),),)</f>
        <v/>
      </c>
      <c r="P311" s="299"/>
      <c r="Q311" s="156"/>
      <c r="R311" s="279"/>
    </row>
    <row r="312">
      <c r="A312" s="122">
        <v>43286.0</v>
      </c>
      <c r="B312" s="55" t="s">
        <v>343</v>
      </c>
      <c r="C312" s="55" t="s">
        <v>344</v>
      </c>
      <c r="D312" s="55" t="s">
        <v>272</v>
      </c>
      <c r="F312" s="264"/>
      <c r="G312" s="128">
        <v>501.26</v>
      </c>
      <c r="H312" s="303" t="s">
        <v>1231</v>
      </c>
      <c r="I312" s="138" t="str">
        <f t="shared" ref="I312:J312" si="316">IFS(AND($B312&lt;&gt;"",$E312&lt;&gt;""),IF(INDEX(N:N,MATCH($C312,$P:$P,0),1)&lt;&gt;"",$E312*INDEX(N:N,MATCH($C312,$P:$P,0),1)+$G312,""),AND($B312&lt;&gt;"",$D312="COST",$G312&lt;0),$G312,TRUE,)</f>
        <v/>
      </c>
      <c r="J312" s="138" t="str">
        <f t="shared" si="316"/>
        <v/>
      </c>
      <c r="K312" s="266" t="str">
        <f t="shared" si="3"/>
        <v>Vanguard S&amp;P 500 UCITS</v>
      </c>
      <c r="L312" s="156">
        <f t="shared" si="4"/>
        <v>4293</v>
      </c>
      <c r="M312" s="156">
        <f t="shared" si="5"/>
        <v>-183260.93</v>
      </c>
      <c r="N312" s="155" t="str">
        <f>IF($P312&lt;&gt;"",IF(MAXIFS(Investment!$M:$M,Investment!$H:$H,LEFT($P312,30)&amp;"*"),MAXIFS(Investment!$M:$M,Investment!$H:$H,LEFT($P312,30)&amp;"*"),),)</f>
        <v/>
      </c>
      <c r="O312" s="158" t="str">
        <f>IF($P312&lt;&gt;"",IF(MAXIFS(Investment!$AH:$AH,Investment!$H:$H,LEFT($P312,30)&amp;"*"),MAXIFS(Investment!$AH:$AH,Investment!$H:$H,LEFT($P312,30)&amp;"*"),),)</f>
        <v/>
      </c>
      <c r="P312" s="299"/>
      <c r="Q312" s="156"/>
      <c r="R312" s="279"/>
    </row>
    <row r="313">
      <c r="A313" s="122">
        <v>43281.0</v>
      </c>
      <c r="B313" s="55" t="s">
        <v>268</v>
      </c>
      <c r="C313" s="55" t="s">
        <v>673</v>
      </c>
      <c r="D313" s="55" t="s">
        <v>272</v>
      </c>
      <c r="F313" s="264"/>
      <c r="G313" s="128">
        <v>-0.04</v>
      </c>
      <c r="H313" s="303" t="s">
        <v>1232</v>
      </c>
      <c r="I313" s="138" t="str">
        <f t="shared" ref="I313:J313" si="317">IFS(AND($B313&lt;&gt;"",$E313&lt;&gt;""),IF(INDEX(N:N,MATCH($C313,$P:$P,0),1)&lt;&gt;"",$E313*INDEX(N:N,MATCH($C313,$P:$P,0),1)+$G313,""),AND($B313&lt;&gt;"",$D313="COST",$G313&lt;0),$G313,TRUE,)</f>
        <v/>
      </c>
      <c r="J313" s="138" t="str">
        <f t="shared" si="317"/>
        <v/>
      </c>
      <c r="K313" s="266" t="str">
        <f t="shared" si="3"/>
        <v>iShares Treasury Bond 20+ UCITS USD Dist</v>
      </c>
      <c r="L313" s="156">
        <f t="shared" si="4"/>
        <v>0</v>
      </c>
      <c r="M313" s="156">
        <f t="shared" si="5"/>
        <v>27424.23</v>
      </c>
      <c r="N313" s="155" t="str">
        <f>IF($P313&lt;&gt;"",IF(MAXIFS(Investment!$M:$M,Investment!$H:$H,LEFT($P313,30)&amp;"*"),MAXIFS(Investment!$M:$M,Investment!$H:$H,LEFT($P313,30)&amp;"*"),),)</f>
        <v/>
      </c>
      <c r="O313" s="158" t="str">
        <f>IF($P313&lt;&gt;"",IF(MAXIFS(Investment!$AH:$AH,Investment!$H:$H,LEFT($P313,30)&amp;"*"),MAXIFS(Investment!$AH:$AH,Investment!$H:$H,LEFT($P313,30)&amp;"*"),),)</f>
        <v/>
      </c>
      <c r="P313" s="299"/>
      <c r="Q313" s="156"/>
      <c r="R313" s="279"/>
    </row>
    <row r="314">
      <c r="A314" s="122">
        <v>43280.0</v>
      </c>
      <c r="B314" s="55" t="s">
        <v>268</v>
      </c>
      <c r="C314" s="55" t="s">
        <v>673</v>
      </c>
      <c r="D314" s="55" t="s">
        <v>272</v>
      </c>
      <c r="F314" s="264"/>
      <c r="G314" s="128">
        <v>-329.67</v>
      </c>
      <c r="H314" s="303" t="s">
        <v>1233</v>
      </c>
      <c r="I314" s="138" t="str">
        <f t="shared" ref="I314:J314" si="318">IFS(AND($B314&lt;&gt;"",$E314&lt;&gt;""),IF(INDEX(N:N,MATCH($C314,$P:$P,0),1)&lt;&gt;"",$E314*INDEX(N:N,MATCH($C314,$P:$P,0),1)+$G314,""),AND($B314&lt;&gt;"",$D314="COST",$G314&lt;0),$G314,TRUE,)</f>
        <v/>
      </c>
      <c r="J314" s="138" t="str">
        <f t="shared" si="318"/>
        <v/>
      </c>
      <c r="K314" s="266" t="str">
        <f t="shared" si="3"/>
        <v>iShares Treasury Bond 20+ UCITS USD Dist</v>
      </c>
      <c r="L314" s="156">
        <f t="shared" si="4"/>
        <v>0</v>
      </c>
      <c r="M314" s="156">
        <f t="shared" si="5"/>
        <v>27424.23</v>
      </c>
      <c r="N314" s="155" t="str">
        <f>IF($P314&lt;&gt;"",IF(MAXIFS(Investment!$M:$M,Investment!$H:$H,LEFT($P314,30)&amp;"*"),MAXIFS(Investment!$M:$M,Investment!$H:$H,LEFT($P314,30)&amp;"*"),),)</f>
        <v/>
      </c>
      <c r="O314" s="158" t="str">
        <f>IF($P314&lt;&gt;"",IF(MAXIFS(Investment!$AH:$AH,Investment!$H:$H,LEFT($P314,30)&amp;"*"),MAXIFS(Investment!$AH:$AH,Investment!$H:$H,LEFT($P314,30)&amp;"*"),),)</f>
        <v/>
      </c>
      <c r="P314" s="299"/>
      <c r="Q314" s="156"/>
      <c r="R314" s="279"/>
    </row>
    <row r="315">
      <c r="A315" s="122">
        <v>43279.0</v>
      </c>
      <c r="B315" s="55" t="s">
        <v>268</v>
      </c>
      <c r="C315" s="55" t="s">
        <v>673</v>
      </c>
      <c r="D315" s="55" t="s">
        <v>272</v>
      </c>
      <c r="F315" s="264"/>
      <c r="G315" s="128">
        <v>2415.73</v>
      </c>
      <c r="H315" s="303" t="s">
        <v>1234</v>
      </c>
      <c r="I315" s="138" t="str">
        <f t="shared" ref="I315:J315" si="319">IFS(AND($B315&lt;&gt;"",$E315&lt;&gt;""),IF(INDEX(N:N,MATCH($C315,$P:$P,0),1)&lt;&gt;"",$E315*INDEX(N:N,MATCH($C315,$P:$P,0),1)+$G315,""),AND($B315&lt;&gt;"",$D315="COST",$G315&lt;0),$G315,TRUE,)</f>
        <v/>
      </c>
      <c r="J315" s="138" t="str">
        <f t="shared" si="319"/>
        <v/>
      </c>
      <c r="K315" s="266" t="str">
        <f t="shared" si="3"/>
        <v>iShares Treasury Bond 20+ UCITS USD Dist</v>
      </c>
      <c r="L315" s="156">
        <f t="shared" si="4"/>
        <v>0</v>
      </c>
      <c r="M315" s="156">
        <f t="shared" si="5"/>
        <v>27424.23</v>
      </c>
      <c r="N315" s="155" t="str">
        <f>IF($P315&lt;&gt;"",IF(MAXIFS(Investment!$M:$M,Investment!$H:$H,LEFT($P315,30)&amp;"*"),MAXIFS(Investment!$M:$M,Investment!$H:$H,LEFT($P315,30)&amp;"*"),),)</f>
        <v/>
      </c>
      <c r="O315" s="158" t="str">
        <f>IF($P315&lt;&gt;"",IF(MAXIFS(Investment!$AH:$AH,Investment!$H:$H,LEFT($P315,30)&amp;"*"),MAXIFS(Investment!$AH:$AH,Investment!$H:$H,LEFT($P315,30)&amp;"*"),),)</f>
        <v/>
      </c>
      <c r="P315" s="299"/>
      <c r="Q315" s="156"/>
      <c r="R315" s="279"/>
    </row>
    <row r="316">
      <c r="A316" s="122">
        <v>43259.0</v>
      </c>
      <c r="B316" s="55" t="s">
        <v>328</v>
      </c>
      <c r="C316" s="304" t="s">
        <v>329</v>
      </c>
      <c r="D316" s="55" t="s">
        <v>330</v>
      </c>
      <c r="E316" s="55">
        <v>897.0</v>
      </c>
      <c r="F316" s="264">
        <v>7.768</v>
      </c>
      <c r="G316" s="128">
        <v>-6967.9</v>
      </c>
      <c r="H316" s="55" t="s">
        <v>1235</v>
      </c>
      <c r="I316" s="138">
        <f t="shared" ref="I316:J316" si="320">IFS(AND($B316&lt;&gt;"",$E316&lt;&gt;""),IF(INDEX(N:N,MATCH($C316,$P:$P,0),1)&lt;&gt;"",$E316*INDEX(N:N,MATCH($C316,$P:$P,0),1)+$G316,""),AND($B316&lt;&gt;"",$D316="COST",$G316&lt;0),$G316,TRUE,)</f>
        <v>-507.706</v>
      </c>
      <c r="J316" s="138">
        <f t="shared" si="320"/>
        <v>-400.6301289</v>
      </c>
      <c r="K316" s="266" t="str">
        <f t="shared" si="3"/>
        <v>ETFS All Commodities ETC</v>
      </c>
      <c r="L316" s="156">
        <f t="shared" si="4"/>
        <v>11470</v>
      </c>
      <c r="M316" s="156">
        <f t="shared" si="5"/>
        <v>-83154.49</v>
      </c>
      <c r="N316" s="155" t="str">
        <f>IF($P316&lt;&gt;"",IF(MAXIFS(Investment!$M:$M,Investment!$H:$H,LEFT($P316,30)&amp;"*"),MAXIFS(Investment!$M:$M,Investment!$H:$H,LEFT($P316,30)&amp;"*"),),)</f>
        <v/>
      </c>
      <c r="O316" s="158" t="str">
        <f>IF($P316&lt;&gt;"",IF(MAXIFS(Investment!$AH:$AH,Investment!$H:$H,LEFT($P316,30)&amp;"*"),MAXIFS(Investment!$AH:$AH,Investment!$H:$H,LEFT($P316,30)&amp;"*"),),)</f>
        <v/>
      </c>
      <c r="P316" s="299"/>
      <c r="Q316" s="156"/>
      <c r="R316" s="279"/>
    </row>
    <row r="317">
      <c r="A317" s="122">
        <v>43259.0</v>
      </c>
      <c r="B317" s="55" t="s">
        <v>317</v>
      </c>
      <c r="C317" s="304" t="s">
        <v>318</v>
      </c>
      <c r="D317" s="55" t="s">
        <v>330</v>
      </c>
      <c r="E317" s="55">
        <v>68.0</v>
      </c>
      <c r="F317" s="264">
        <v>105.33</v>
      </c>
      <c r="G317" s="128">
        <v>-7162.44</v>
      </c>
      <c r="H317" s="55" t="s">
        <v>1236</v>
      </c>
      <c r="I317" s="138">
        <f t="shared" ref="I317:J317" si="321">IFS(AND($B317&lt;&gt;"",$E317&lt;&gt;""),IF(INDEX(N:N,MATCH($C317,$P:$P,0),1)&lt;&gt;"",$E317*INDEX(N:N,MATCH($C317,$P:$P,0),1)+$G317,""),AND($B317&lt;&gt;"",$D317="COST",$G317&lt;0),$G317,TRUE,)</f>
        <v>868.36</v>
      </c>
      <c r="J317" s="138">
        <f t="shared" si="321"/>
        <v>25.3671875</v>
      </c>
      <c r="K317" s="266" t="str">
        <f t="shared" si="3"/>
        <v>ETFS Physical Gold</v>
      </c>
      <c r="L317" s="156">
        <f t="shared" si="4"/>
        <v>443</v>
      </c>
      <c r="M317" s="156">
        <f t="shared" si="5"/>
        <v>-44918.1</v>
      </c>
      <c r="N317" s="155" t="str">
        <f>IF($P317&lt;&gt;"",IF(MAXIFS(Investment!$M:$M,Investment!$H:$H,LEFT($P317,30)&amp;"*"),MAXIFS(Investment!$M:$M,Investment!$H:$H,LEFT($P317,30)&amp;"*"),),)</f>
        <v/>
      </c>
      <c r="O317" s="158" t="str">
        <f>IF($P317&lt;&gt;"",IF(MAXIFS(Investment!$AH:$AH,Investment!$H:$H,LEFT($P317,30)&amp;"*"),MAXIFS(Investment!$AH:$AH,Investment!$H:$H,LEFT($P317,30)&amp;"*"),),)</f>
        <v/>
      </c>
      <c r="P317" s="299"/>
      <c r="Q317" s="156"/>
      <c r="R317" s="279"/>
    </row>
    <row r="318">
      <c r="A318" s="122">
        <v>43259.0</v>
      </c>
      <c r="B318" s="55" t="s">
        <v>343</v>
      </c>
      <c r="C318" s="304" t="s">
        <v>344</v>
      </c>
      <c r="D318" s="55" t="s">
        <v>330</v>
      </c>
      <c r="E318" s="55">
        <v>630.0</v>
      </c>
      <c r="F318" s="264">
        <v>44.718</v>
      </c>
      <c r="G318" s="128">
        <v>-28172.34</v>
      </c>
      <c r="H318" s="55" t="s">
        <v>1237</v>
      </c>
      <c r="I318" s="138">
        <f t="shared" ref="I318:J318" si="322">IFS(AND($B318&lt;&gt;"",$E318&lt;&gt;""),IF(INDEX(N:N,MATCH($C318,$P:$P,0),1)&lt;&gt;"",$E318*INDEX(N:N,MATCH($C318,$P:$P,0),1)+$G318,""),AND($B318&lt;&gt;"",$D318="COST",$G318&lt;0),$G318,TRUE,)</f>
        <v>2509.29</v>
      </c>
      <c r="J318" s="138">
        <f t="shared" si="322"/>
        <v>1065.467813</v>
      </c>
      <c r="K318" s="266" t="str">
        <f t="shared" si="3"/>
        <v>Vanguard S&amp;P 500 UCITS</v>
      </c>
      <c r="L318" s="156">
        <f t="shared" si="4"/>
        <v>4293</v>
      </c>
      <c r="M318" s="156">
        <f t="shared" si="5"/>
        <v>-183260.93</v>
      </c>
      <c r="N318" s="155" t="str">
        <f>IF($P318&lt;&gt;"",IF(MAXIFS(Investment!$M:$M,Investment!$H:$H,LEFT($P318,30)&amp;"*"),MAXIFS(Investment!$M:$M,Investment!$H:$H,LEFT($P318,30)&amp;"*"),),)</f>
        <v/>
      </c>
      <c r="O318" s="158" t="str">
        <f>IF($P318&lt;&gt;"",IF(MAXIFS(Investment!$AH:$AH,Investment!$H:$H,LEFT($P318,30)&amp;"*"),MAXIFS(Investment!$AH:$AH,Investment!$H:$H,LEFT($P318,30)&amp;"*"),),)</f>
        <v/>
      </c>
      <c r="P318" s="299"/>
      <c r="Q318" s="156"/>
      <c r="R318" s="279"/>
    </row>
    <row r="319">
      <c r="A319" s="122">
        <v>43259.0</v>
      </c>
      <c r="B319" s="55" t="s">
        <v>268</v>
      </c>
      <c r="C319" s="55" t="s">
        <v>673</v>
      </c>
      <c r="D319" s="55" t="s">
        <v>378</v>
      </c>
      <c r="E319" s="55"/>
      <c r="F319" s="264"/>
      <c r="G319" s="128">
        <v>-10.09</v>
      </c>
      <c r="H319" s="55" t="s">
        <v>1238</v>
      </c>
      <c r="I319" s="138">
        <f t="shared" ref="I319:J319" si="323">IFS(AND($B319&lt;&gt;"",$E319&lt;&gt;""),IF(INDEX(N:N,MATCH($C319,$P:$P,0),1)&lt;&gt;"",$E319*INDEX(N:N,MATCH($C319,$P:$P,0),1)+$G319,""),AND($B319&lt;&gt;"",$D319="COST",$G319&lt;0),$G319,TRUE,)</f>
        <v>-10.09</v>
      </c>
      <c r="J319" s="138">
        <f t="shared" si="323"/>
        <v>-10.09</v>
      </c>
      <c r="K319" s="266" t="str">
        <f t="shared" si="3"/>
        <v>iShares Treasury Bond 20+ UCITS USD Dist</v>
      </c>
      <c r="L319" s="156">
        <f t="shared" si="4"/>
        <v>0</v>
      </c>
      <c r="M319" s="156">
        <f t="shared" si="5"/>
        <v>27424.23</v>
      </c>
      <c r="N319" s="155" t="str">
        <f>IF($P319&lt;&gt;"",IF(MAXIFS(Investment!$M:$M,Investment!$H:$H,LEFT($P319,30)&amp;"*"),MAXIFS(Investment!$M:$M,Investment!$H:$H,LEFT($P319,30)&amp;"*"),),)</f>
        <v/>
      </c>
      <c r="O319" s="158" t="str">
        <f>IF($P319&lt;&gt;"",IF(MAXIFS(Investment!$AH:$AH,Investment!$H:$H,LEFT($P319,30)&amp;"*"),MAXIFS(Investment!$AH:$AH,Investment!$H:$H,LEFT($P319,30)&amp;"*"),),)</f>
        <v/>
      </c>
      <c r="P319" s="299"/>
      <c r="Q319" s="156"/>
      <c r="R319" s="279"/>
    </row>
    <row r="320">
      <c r="A320" s="122">
        <v>43259.0</v>
      </c>
      <c r="B320" s="55" t="s">
        <v>268</v>
      </c>
      <c r="C320" s="55" t="s">
        <v>673</v>
      </c>
      <c r="D320" s="55" t="s">
        <v>330</v>
      </c>
      <c r="E320" s="50">
        <v>10452.0</v>
      </c>
      <c r="F320" s="264">
        <v>3.869</v>
      </c>
      <c r="G320" s="128">
        <v>-40435.8</v>
      </c>
      <c r="H320" s="55" t="s">
        <v>1239</v>
      </c>
      <c r="I320" s="138">
        <f t="shared" ref="I320:J320" si="324">IFS(AND($B320&lt;&gt;"",$E320&lt;&gt;""),IF(INDEX(N:N,MATCH($C320,$P:$P,0),1)&lt;&gt;"",$E320*INDEX(N:N,MATCH($C320,$P:$P,0),1)+$G320,""),AND($B320&lt;&gt;"",$D320="COST",$G320&lt;0),$G320,TRUE,)</f>
        <v>4988.592</v>
      </c>
      <c r="J320" s="138">
        <f t="shared" si="324"/>
        <v>1188.185599</v>
      </c>
      <c r="K320" s="266" t="str">
        <f t="shared" si="3"/>
        <v>iShares Treasury Bond 20+ UCITS USD Dist</v>
      </c>
      <c r="L320" s="156">
        <f t="shared" si="4"/>
        <v>0</v>
      </c>
      <c r="M320" s="156">
        <f t="shared" si="5"/>
        <v>27424.23</v>
      </c>
      <c r="N320" s="155" t="str">
        <f>IF($P320&lt;&gt;"",IF(MAXIFS(Investment!$M:$M,Investment!$H:$H,LEFT($P320,30)&amp;"*"),MAXIFS(Investment!$M:$M,Investment!$H:$H,LEFT($P320,30)&amp;"*"),),)</f>
        <v/>
      </c>
      <c r="O320" s="158" t="str">
        <f>IF($P320&lt;&gt;"",IF(MAXIFS(Investment!$AH:$AH,Investment!$H:$H,LEFT($P320,30)&amp;"*"),MAXIFS(Investment!$AH:$AH,Investment!$H:$H,LEFT($P320,30)&amp;"*"),),)</f>
        <v/>
      </c>
      <c r="P320" s="299"/>
      <c r="Q320" s="156"/>
      <c r="R320" s="279"/>
    </row>
    <row r="321">
      <c r="A321" s="122">
        <v>43259.0</v>
      </c>
      <c r="B321" s="55" t="s">
        <v>364</v>
      </c>
      <c r="C321" s="55" t="s">
        <v>366</v>
      </c>
      <c r="D321" s="55" t="s">
        <v>330</v>
      </c>
      <c r="E321" s="55">
        <v>93.0</v>
      </c>
      <c r="F321" s="264">
        <v>159.71</v>
      </c>
      <c r="G321" s="128">
        <v>-14853.03</v>
      </c>
      <c r="H321" s="55" t="s">
        <v>1240</v>
      </c>
      <c r="I321" s="138">
        <f t="shared" ref="I321:J321" si="325">IFS(AND($B321&lt;&gt;"",$E321&lt;&gt;""),IF(INDEX(N:N,MATCH($C321,$P:$P,0),1)&lt;&gt;"",$E321*INDEX(N:N,MATCH($C321,$P:$P,0),1)+$G321,""),AND($B321&lt;&gt;"",$D321="COST",$G321&lt;0),$G321,TRUE,)</f>
        <v>1654.47</v>
      </c>
      <c r="J321" s="138">
        <f t="shared" si="325"/>
        <v>749.1186328</v>
      </c>
      <c r="K321" s="266" t="str">
        <f t="shared" si="3"/>
        <v>iShares Treasury Bond 7-10 UCITS</v>
      </c>
      <c r="L321" s="156">
        <f t="shared" si="4"/>
        <v>597</v>
      </c>
      <c r="M321" s="156">
        <f t="shared" si="5"/>
        <v>-91106.6</v>
      </c>
      <c r="N321" s="155" t="str">
        <f>IF($P321&lt;&gt;"",IF(MAXIFS(Investment!$M:$M,Investment!$H:$H,LEFT($P321,30)&amp;"*"),MAXIFS(Investment!$M:$M,Investment!$H:$H,LEFT($P321,30)&amp;"*"),),)</f>
        <v/>
      </c>
      <c r="O321" s="158" t="str">
        <f>IF($P321&lt;&gt;"",IF(MAXIFS(Investment!$AH:$AH,Investment!$H:$H,LEFT($P321,30)&amp;"*"),MAXIFS(Investment!$AH:$AH,Investment!$H:$H,LEFT($P321,30)&amp;"*"),),)</f>
        <v/>
      </c>
      <c r="P321" s="299"/>
      <c r="Q321" s="156"/>
      <c r="R321" s="279"/>
    </row>
    <row r="322">
      <c r="A322" s="122">
        <v>43258.0</v>
      </c>
      <c r="B322" s="55"/>
      <c r="C322" s="304"/>
      <c r="D322" s="55" t="s">
        <v>312</v>
      </c>
      <c r="E322" s="55"/>
      <c r="F322" s="264"/>
      <c r="G322" s="128">
        <v>25000.0</v>
      </c>
      <c r="H322" s="55" t="s">
        <v>1241</v>
      </c>
      <c r="I322" s="138" t="str">
        <f t="shared" ref="I322:J322" si="326">IFS(AND($B322&lt;&gt;"",$E322&lt;&gt;""),IF(INDEX(N:N,MATCH($C322,$P:$P,0),1)&lt;&gt;"",$E322*INDEX(N:N,MATCH($C322,$P:$P,0),1)+$G322,""),AND($B322&lt;&gt;"",$D322="COST",$G322&lt;0),$G322,TRUE,)</f>
        <v/>
      </c>
      <c r="J322" s="138" t="str">
        <f t="shared" si="326"/>
        <v/>
      </c>
      <c r="K322" s="266" t="str">
        <f t="shared" si="3"/>
        <v/>
      </c>
      <c r="L322" s="156" t="str">
        <f t="shared" si="4"/>
        <v/>
      </c>
      <c r="M322" s="156" t="str">
        <f t="shared" si="5"/>
        <v/>
      </c>
      <c r="N322" s="155" t="str">
        <f>IF($P322&lt;&gt;"",IF(MAXIFS(Investment!$M:$M,Investment!$H:$H,LEFT($P322,30)&amp;"*"),MAXIFS(Investment!$M:$M,Investment!$H:$H,LEFT($P322,30)&amp;"*"),),)</f>
        <v/>
      </c>
      <c r="O322" s="158" t="str">
        <f>IF($P322&lt;&gt;"",IF(MAXIFS(Investment!$AH:$AH,Investment!$H:$H,LEFT($P322,30)&amp;"*"),MAXIFS(Investment!$AH:$AH,Investment!$H:$H,LEFT($P322,30)&amp;"*"),),)</f>
        <v/>
      </c>
      <c r="P322" s="299"/>
      <c r="Q322" s="156"/>
      <c r="R322" s="279"/>
    </row>
    <row r="323">
      <c r="A323" s="122">
        <v>43257.0</v>
      </c>
      <c r="B323" s="55"/>
      <c r="C323" s="304"/>
      <c r="D323" s="55" t="s">
        <v>378</v>
      </c>
      <c r="E323" s="55"/>
      <c r="F323" s="264"/>
      <c r="G323" s="128">
        <v>-2.5</v>
      </c>
      <c r="H323" s="55" t="s">
        <v>531</v>
      </c>
      <c r="I323" s="138" t="str">
        <f t="shared" ref="I323:J323" si="327">IFS(AND($B323&lt;&gt;"",$E323&lt;&gt;""),IF(INDEX(N:N,MATCH($C323,$P:$P,0),1)&lt;&gt;"",$E323*INDEX(N:N,MATCH($C323,$P:$P,0),1)+$G323,""),AND($B323&lt;&gt;"",$D323="COST",$G323&lt;0),$G323,TRUE,)</f>
        <v/>
      </c>
      <c r="J323" s="138" t="str">
        <f t="shared" si="327"/>
        <v/>
      </c>
      <c r="K323" s="266" t="str">
        <f t="shared" si="3"/>
        <v/>
      </c>
      <c r="L323" s="156" t="str">
        <f t="shared" si="4"/>
        <v/>
      </c>
      <c r="M323" s="156" t="str">
        <f t="shared" si="5"/>
        <v/>
      </c>
      <c r="N323" s="155" t="str">
        <f>IF($P323&lt;&gt;"",IF(MAXIFS(Investment!$M:$M,Investment!$H:$H,LEFT($P323,30)&amp;"*"),MAXIFS(Investment!$M:$M,Investment!$H:$H,LEFT($P323,30)&amp;"*"),),)</f>
        <v/>
      </c>
      <c r="O323" s="158" t="str">
        <f>IF($P323&lt;&gt;"",IF(MAXIFS(Investment!$AH:$AH,Investment!$H:$H,LEFT($P323,30)&amp;"*"),MAXIFS(Investment!$AH:$AH,Investment!$H:$H,LEFT($P323,30)&amp;"*"),),)</f>
        <v/>
      </c>
      <c r="P323" s="299"/>
      <c r="Q323" s="156"/>
      <c r="R323" s="279"/>
    </row>
    <row r="324">
      <c r="A324" s="122">
        <v>43256.0</v>
      </c>
      <c r="B324" s="55"/>
      <c r="C324" s="304"/>
      <c r="D324" s="55" t="s">
        <v>378</v>
      </c>
      <c r="E324" s="55"/>
      <c r="F324" s="264"/>
      <c r="G324" s="128">
        <v>-161.46</v>
      </c>
      <c r="H324" s="55" t="s">
        <v>1242</v>
      </c>
      <c r="I324" s="138" t="str">
        <f t="shared" ref="I324:J324" si="328">IFS(AND($B324&lt;&gt;"",$E324&lt;&gt;""),IF(INDEX(N:N,MATCH($C324,$P:$P,0),1)&lt;&gt;"",$E324*INDEX(N:N,MATCH($C324,$P:$P,0),1)+$G324,""),AND($B324&lt;&gt;"",$D324="COST",$G324&lt;0),$G324,TRUE,)</f>
        <v/>
      </c>
      <c r="J324" s="138" t="str">
        <f t="shared" si="328"/>
        <v/>
      </c>
      <c r="K324" s="266" t="str">
        <f t="shared" si="3"/>
        <v/>
      </c>
      <c r="L324" s="156" t="str">
        <f t="shared" si="4"/>
        <v/>
      </c>
      <c r="M324" s="156" t="str">
        <f t="shared" si="5"/>
        <v/>
      </c>
      <c r="N324" s="155" t="str">
        <f>IF($P324&lt;&gt;"",IF(MAXIFS(Investment!$M:$M,Investment!$H:$H,LEFT($P324,30)&amp;"*"),MAXIFS(Investment!$M:$M,Investment!$H:$H,LEFT($P324,30)&amp;"*"),),)</f>
        <v/>
      </c>
      <c r="O324" s="158" t="str">
        <f>IF($P324&lt;&gt;"",IF(MAXIFS(Investment!$AH:$AH,Investment!$H:$H,LEFT($P324,30)&amp;"*"),MAXIFS(Investment!$AH:$AH,Investment!$H:$H,LEFT($P324,30)&amp;"*"),),)</f>
        <v/>
      </c>
      <c r="P324" s="299"/>
      <c r="Q324" s="156"/>
      <c r="R324" s="279"/>
    </row>
    <row r="325">
      <c r="A325" s="122">
        <v>43256.0</v>
      </c>
      <c r="B325" s="55" t="s">
        <v>328</v>
      </c>
      <c r="C325" s="304" t="s">
        <v>329</v>
      </c>
      <c r="D325" s="55" t="s">
        <v>330</v>
      </c>
      <c r="E325" s="55">
        <v>163.0</v>
      </c>
      <c r="F325" s="264">
        <v>7.8</v>
      </c>
      <c r="G325" s="128">
        <v>-1271.4</v>
      </c>
      <c r="H325" s="55" t="s">
        <v>1243</v>
      </c>
      <c r="I325" s="138">
        <f t="shared" ref="I325:J325" si="329">IFS(AND($B325&lt;&gt;"",$E325&lt;&gt;""),IF(INDEX(N:N,MATCH($C325,$P:$P,0),1)&lt;&gt;"",$E325*INDEX(N:N,MATCH($C325,$P:$P,0),1)+$G325,""),AND($B325&lt;&gt;"",$D325="COST",$G325&lt;0),$G325,TRUE,)</f>
        <v>-97.474</v>
      </c>
      <c r="J325" s="138">
        <f t="shared" si="329"/>
        <v>-78.01651172</v>
      </c>
      <c r="K325" s="266" t="str">
        <f t="shared" si="3"/>
        <v>ETFS All Commodities ETC</v>
      </c>
      <c r="L325" s="156">
        <f t="shared" si="4"/>
        <v>11470</v>
      </c>
      <c r="M325" s="156">
        <f t="shared" si="5"/>
        <v>-83154.49</v>
      </c>
      <c r="N325" s="155" t="str">
        <f>IF($P325&lt;&gt;"",IF(MAXIFS(Investment!$M:$M,Investment!$H:$H,LEFT($P325,30)&amp;"*"),MAXIFS(Investment!$M:$M,Investment!$H:$H,LEFT($P325,30)&amp;"*"),),)</f>
        <v/>
      </c>
      <c r="O325" s="158" t="str">
        <f>IF($P325&lt;&gt;"",IF(MAXIFS(Investment!$AH:$AH,Investment!$H:$H,LEFT($P325,30)&amp;"*"),MAXIFS(Investment!$AH:$AH,Investment!$H:$H,LEFT($P325,30)&amp;"*"),),)</f>
        <v/>
      </c>
      <c r="P325" s="299"/>
      <c r="Q325" s="156"/>
      <c r="R325" s="279"/>
    </row>
    <row r="326">
      <c r="A326" s="122">
        <v>43255.0</v>
      </c>
      <c r="B326" s="55" t="s">
        <v>268</v>
      </c>
      <c r="C326" s="55" t="s">
        <v>673</v>
      </c>
      <c r="D326" s="55" t="s">
        <v>378</v>
      </c>
      <c r="F326" s="264"/>
      <c r="G326" s="128">
        <v>-3.82</v>
      </c>
      <c r="H326" s="55" t="s">
        <v>1244</v>
      </c>
      <c r="I326" s="138">
        <f t="shared" ref="I326:J326" si="330">IFS(AND($B326&lt;&gt;"",$E326&lt;&gt;""),IF(INDEX(N:N,MATCH($C326,$P:$P,0),1)&lt;&gt;"",$E326*INDEX(N:N,MATCH($C326,$P:$P,0),1)+$G326,""),AND($B326&lt;&gt;"",$D326="COST",$G326&lt;0),$G326,TRUE,)</f>
        <v>-3.82</v>
      </c>
      <c r="J326" s="138">
        <f t="shared" si="330"/>
        <v>-3.82</v>
      </c>
      <c r="K326" s="266" t="str">
        <f t="shared" si="3"/>
        <v>iShares Treasury Bond 20+ UCITS USD Dist</v>
      </c>
      <c r="L326" s="156">
        <f t="shared" si="4"/>
        <v>0</v>
      </c>
      <c r="M326" s="156">
        <f t="shared" si="5"/>
        <v>27424.23</v>
      </c>
      <c r="N326" s="155" t="str">
        <f>IF($P326&lt;&gt;"",IF(MAXIFS(Investment!$M:$M,Investment!$H:$H,LEFT($P326,30)&amp;"*"),MAXIFS(Investment!$M:$M,Investment!$H:$H,LEFT($P326,30)&amp;"*"),),)</f>
        <v/>
      </c>
      <c r="O326" s="158" t="str">
        <f>IF($P326&lt;&gt;"",IF(MAXIFS(Investment!$AH:$AH,Investment!$H:$H,LEFT($P326,30)&amp;"*"),MAXIFS(Investment!$AH:$AH,Investment!$H:$H,LEFT($P326,30)&amp;"*"),),)</f>
        <v/>
      </c>
      <c r="P326" s="299"/>
      <c r="Q326" s="156"/>
      <c r="R326" s="279"/>
    </row>
    <row r="327">
      <c r="A327" s="122">
        <v>43255.0</v>
      </c>
      <c r="B327" s="55" t="s">
        <v>268</v>
      </c>
      <c r="C327" s="55" t="s">
        <v>673</v>
      </c>
      <c r="D327" s="55" t="s">
        <v>330</v>
      </c>
      <c r="E327" s="50">
        <v>2338.0</v>
      </c>
      <c r="F327" s="264">
        <v>3.882</v>
      </c>
      <c r="G327" s="128">
        <v>-9076.29</v>
      </c>
      <c r="H327" s="55" t="s">
        <v>1245</v>
      </c>
      <c r="I327" s="138">
        <f t="shared" ref="I327:J327" si="331">IFS(AND($B327&lt;&gt;"",$E327&lt;&gt;""),IF(INDEX(N:N,MATCH($C327,$P:$P,0),1)&lt;&gt;"",$E327*INDEX(N:N,MATCH($C327,$P:$P,0),1)+$G327,""),AND($B327&lt;&gt;"",$D327="COST",$G327&lt;0),$G327,TRUE,)</f>
        <v>1084.658</v>
      </c>
      <c r="J327" s="138">
        <f t="shared" si="331"/>
        <v>234.5479574</v>
      </c>
      <c r="K327" s="266" t="str">
        <f t="shared" si="3"/>
        <v>iShares Treasury Bond 20+ UCITS USD Dist</v>
      </c>
      <c r="L327" s="156">
        <f t="shared" si="4"/>
        <v>0</v>
      </c>
      <c r="M327" s="156">
        <f t="shared" si="5"/>
        <v>27424.23</v>
      </c>
      <c r="N327" s="155" t="str">
        <f>IF($P327&lt;&gt;"",IF(MAXIFS(Investment!$M:$M,Investment!$H:$H,LEFT($P327,30)&amp;"*"),MAXIFS(Investment!$M:$M,Investment!$H:$H,LEFT($P327,30)&amp;"*"),),)</f>
        <v/>
      </c>
      <c r="O327" s="158" t="str">
        <f>IF($P327&lt;&gt;"",IF(MAXIFS(Investment!$AH:$AH,Investment!$H:$H,LEFT($P327,30)&amp;"*"),MAXIFS(Investment!$AH:$AH,Investment!$H:$H,LEFT($P327,30)&amp;"*"),),)</f>
        <v/>
      </c>
      <c r="P327" s="299"/>
      <c r="Q327" s="156"/>
      <c r="R327" s="279"/>
    </row>
    <row r="328">
      <c r="A328" s="122">
        <v>43255.0</v>
      </c>
      <c r="B328" s="55" t="s">
        <v>328</v>
      </c>
      <c r="C328" s="304" t="s">
        <v>329</v>
      </c>
      <c r="D328" s="55" t="s">
        <v>330</v>
      </c>
      <c r="E328" s="55">
        <v>479.0</v>
      </c>
      <c r="F328" s="264">
        <v>7.801</v>
      </c>
      <c r="G328" s="128">
        <v>-3736.68</v>
      </c>
      <c r="H328" s="55" t="s">
        <v>1246</v>
      </c>
      <c r="I328" s="138">
        <f t="shared" ref="I328:J328" si="332">IFS(AND($B328&lt;&gt;"",$E328&lt;&gt;""),IF(INDEX(N:N,MATCH($C328,$P:$P,0),1)&lt;&gt;"",$E328*INDEX(N:N,MATCH($C328,$P:$P,0),1)+$G328,""),AND($B328&lt;&gt;"",$D328="COST",$G328&lt;0),$G328,TRUE,)</f>
        <v>-286.922</v>
      </c>
      <c r="J328" s="138">
        <f t="shared" si="332"/>
        <v>-229.7432461</v>
      </c>
      <c r="K328" s="266" t="str">
        <f t="shared" si="3"/>
        <v>ETFS All Commodities ETC</v>
      </c>
      <c r="L328" s="156">
        <f t="shared" si="4"/>
        <v>11470</v>
      </c>
      <c r="M328" s="156">
        <f t="shared" si="5"/>
        <v>-83154.49</v>
      </c>
      <c r="N328" s="155" t="str">
        <f>IF($P328&lt;&gt;"",IF(MAXIFS(Investment!$M:$M,Investment!$H:$H,LEFT($P328,30)&amp;"*"),MAXIFS(Investment!$M:$M,Investment!$H:$H,LEFT($P328,30)&amp;"*"),),)</f>
        <v/>
      </c>
      <c r="O328" s="158" t="str">
        <f>IF($P328&lt;&gt;"",IF(MAXIFS(Investment!$AH:$AH,Investment!$H:$H,LEFT($P328,30)&amp;"*"),MAXIFS(Investment!$AH:$AH,Investment!$H:$H,LEFT($P328,30)&amp;"*"),),)</f>
        <v/>
      </c>
      <c r="P328" s="299"/>
      <c r="Q328" s="156"/>
      <c r="R328" s="279"/>
    </row>
    <row r="329">
      <c r="A329" s="122">
        <v>43255.0</v>
      </c>
      <c r="B329" s="55" t="s">
        <v>364</v>
      </c>
      <c r="C329" s="55" t="s">
        <v>366</v>
      </c>
      <c r="D329" s="55" t="s">
        <v>330</v>
      </c>
      <c r="E329" s="55">
        <v>23.0</v>
      </c>
      <c r="F329" s="264">
        <v>159.87</v>
      </c>
      <c r="G329" s="128">
        <v>-3677.01</v>
      </c>
      <c r="H329" s="55" t="s">
        <v>1247</v>
      </c>
      <c r="I329" s="138">
        <f t="shared" ref="I329:J329" si="333">IFS(AND($B329&lt;&gt;"",$E329&lt;&gt;""),IF(INDEX(N:N,MATCH($C329,$P:$P,0),1)&lt;&gt;"",$E329*INDEX(N:N,MATCH($C329,$P:$P,0),1)+$G329,""),AND($B329&lt;&gt;"",$D329="COST",$G329&lt;0),$G329,TRUE,)</f>
        <v>405.49</v>
      </c>
      <c r="J329" s="138">
        <f t="shared" si="333"/>
        <v>181.5858984</v>
      </c>
      <c r="K329" s="266" t="str">
        <f t="shared" si="3"/>
        <v>iShares Treasury Bond 7-10 UCITS</v>
      </c>
      <c r="L329" s="156">
        <f t="shared" si="4"/>
        <v>597</v>
      </c>
      <c r="M329" s="156">
        <f t="shared" si="5"/>
        <v>-91106.6</v>
      </c>
      <c r="N329" s="155" t="str">
        <f>IF($P329&lt;&gt;"",IF(MAXIFS(Investment!$M:$M,Investment!$H:$H,LEFT($P329,30)&amp;"*"),MAXIFS(Investment!$M:$M,Investment!$H:$H,LEFT($P329,30)&amp;"*"),),)</f>
        <v/>
      </c>
      <c r="O329" s="158" t="str">
        <f>IF($P329&lt;&gt;"",IF(MAXIFS(Investment!$AH:$AH,Investment!$H:$H,LEFT($P329,30)&amp;"*"),MAXIFS(Investment!$AH:$AH,Investment!$H:$H,LEFT($P329,30)&amp;"*"),),)</f>
        <v/>
      </c>
      <c r="P329" s="299"/>
      <c r="Q329" s="156"/>
      <c r="R329" s="279"/>
    </row>
    <row r="330">
      <c r="A330" s="122">
        <v>43255.0</v>
      </c>
      <c r="B330" s="55" t="s">
        <v>343</v>
      </c>
      <c r="C330" s="304" t="s">
        <v>344</v>
      </c>
      <c r="D330" s="55" t="s">
        <v>330</v>
      </c>
      <c r="E330" s="55">
        <v>93.0</v>
      </c>
      <c r="F330" s="264">
        <v>44.55</v>
      </c>
      <c r="G330" s="128">
        <v>-4143.15</v>
      </c>
      <c r="H330" s="55" t="s">
        <v>1248</v>
      </c>
      <c r="I330" s="138">
        <f t="shared" ref="I330:J330" si="334">IFS(AND($B330&lt;&gt;"",$E330&lt;&gt;""),IF(INDEX(N:N,MATCH($C330,$P:$P,0),1)&lt;&gt;"",$E330*INDEX(N:N,MATCH($C330,$P:$P,0),1)+$G330,""),AND($B330&lt;&gt;"",$D330="COST",$G330&lt;0),$G330,TRUE,)</f>
        <v>386.043</v>
      </c>
      <c r="J330" s="138">
        <f t="shared" si="334"/>
        <v>172.9073438</v>
      </c>
      <c r="K330" s="266" t="str">
        <f t="shared" si="3"/>
        <v>Vanguard S&amp;P 500 UCITS</v>
      </c>
      <c r="L330" s="156">
        <f t="shared" si="4"/>
        <v>4293</v>
      </c>
      <c r="M330" s="156">
        <f t="shared" si="5"/>
        <v>-183260.93</v>
      </c>
      <c r="N330" s="155" t="str">
        <f>IF($P330&lt;&gt;"",IF(MAXIFS(Investment!$M:$M,Investment!$H:$H,LEFT($P330,30)&amp;"*"),MAXIFS(Investment!$M:$M,Investment!$H:$H,LEFT($P330,30)&amp;"*"),),)</f>
        <v/>
      </c>
      <c r="O330" s="158" t="str">
        <f>IF($P330&lt;&gt;"",IF(MAXIFS(Investment!$AH:$AH,Investment!$H:$H,LEFT($P330,30)&amp;"*"),MAXIFS(Investment!$AH:$AH,Investment!$H:$H,LEFT($P330,30)&amp;"*"),),)</f>
        <v/>
      </c>
      <c r="P330" s="299"/>
      <c r="Q330" s="156"/>
      <c r="R330" s="279"/>
    </row>
    <row r="331">
      <c r="A331" s="122">
        <v>43255.0</v>
      </c>
      <c r="B331" s="55" t="s">
        <v>268</v>
      </c>
      <c r="C331" s="55" t="s">
        <v>673</v>
      </c>
      <c r="D331" s="55" t="s">
        <v>378</v>
      </c>
      <c r="F331" s="264"/>
      <c r="G331" s="128">
        <v>-2.96</v>
      </c>
      <c r="H331" s="55" t="s">
        <v>1249</v>
      </c>
      <c r="I331" s="138">
        <f t="shared" ref="I331:J331" si="335">IFS(AND($B331&lt;&gt;"",$E331&lt;&gt;""),IF(INDEX(N:N,MATCH($C331,$P:$P,0),1)&lt;&gt;"",$E331*INDEX(N:N,MATCH($C331,$P:$P,0),1)+$G331,""),AND($B331&lt;&gt;"",$D331="COST",$G331&lt;0),$G331,TRUE,)</f>
        <v>-2.96</v>
      </c>
      <c r="J331" s="138">
        <f t="shared" si="335"/>
        <v>-2.96</v>
      </c>
      <c r="K331" s="266" t="str">
        <f t="shared" si="3"/>
        <v>iShares Treasury Bond 20+ UCITS USD Dist</v>
      </c>
      <c r="L331" s="156">
        <f t="shared" si="4"/>
        <v>0</v>
      </c>
      <c r="M331" s="156">
        <f t="shared" si="5"/>
        <v>27424.23</v>
      </c>
      <c r="N331" s="155" t="str">
        <f>IF($P331&lt;&gt;"",IF(MAXIFS(Investment!$M:$M,Investment!$H:$H,LEFT($P331,30)&amp;"*"),MAXIFS(Investment!$M:$M,Investment!$H:$H,LEFT($P331,30)&amp;"*"),),)</f>
        <v/>
      </c>
      <c r="O331" s="158" t="str">
        <f>IF($P331&lt;&gt;"",IF(MAXIFS(Investment!$AH:$AH,Investment!$H:$H,LEFT($P331,30)&amp;"*"),MAXIFS(Investment!$AH:$AH,Investment!$H:$H,LEFT($P331,30)&amp;"*"),),)</f>
        <v/>
      </c>
      <c r="P331" s="299"/>
      <c r="Q331" s="156"/>
      <c r="R331" s="279"/>
    </row>
    <row r="332">
      <c r="A332" s="122">
        <v>43255.0</v>
      </c>
      <c r="B332" s="55" t="s">
        <v>268</v>
      </c>
      <c r="C332" s="55" t="s">
        <v>673</v>
      </c>
      <c r="D332" s="55" t="s">
        <v>330</v>
      </c>
      <c r="E332" s="50">
        <v>1235.0</v>
      </c>
      <c r="F332" s="264">
        <v>3.881</v>
      </c>
      <c r="G332" s="128">
        <v>-4793.1</v>
      </c>
      <c r="H332" s="55" t="s">
        <v>1250</v>
      </c>
      <c r="I332" s="138">
        <f t="shared" ref="I332:J332" si="336">IFS(AND($B332&lt;&gt;"",$E332&lt;&gt;""),IF(INDEX(N:N,MATCH($C332,$P:$P,0),1)&lt;&gt;"",$E332*INDEX(N:N,MATCH($C332,$P:$P,0),1)+$G332,""),AND($B332&lt;&gt;"",$D332="COST",$G332&lt;0),$G332,TRUE,)</f>
        <v>574.21</v>
      </c>
      <c r="J332" s="138">
        <f t="shared" si="336"/>
        <v>125.1570049</v>
      </c>
      <c r="K332" s="266" t="str">
        <f t="shared" si="3"/>
        <v>iShares Treasury Bond 20+ UCITS USD Dist</v>
      </c>
      <c r="L332" s="156">
        <f t="shared" si="4"/>
        <v>0</v>
      </c>
      <c r="M332" s="156">
        <f t="shared" si="5"/>
        <v>27424.23</v>
      </c>
      <c r="N332" s="155" t="str">
        <f>IF($P332&lt;&gt;"",IF(MAXIFS(Investment!$M:$M,Investment!$H:$H,LEFT($P332,30)&amp;"*"),MAXIFS(Investment!$M:$M,Investment!$H:$H,LEFT($P332,30)&amp;"*"),),)</f>
        <v/>
      </c>
      <c r="O332" s="158" t="str">
        <f>IF($P332&lt;&gt;"",IF(MAXIFS(Investment!$AH:$AH,Investment!$H:$H,LEFT($P332,30)&amp;"*"),MAXIFS(Investment!$AH:$AH,Investment!$H:$H,LEFT($P332,30)&amp;"*"),),)</f>
        <v/>
      </c>
      <c r="P332" s="299"/>
      <c r="Q332" s="156"/>
      <c r="R332" s="279"/>
    </row>
    <row r="333">
      <c r="A333" s="122">
        <v>43255.0</v>
      </c>
      <c r="B333" s="55" t="s">
        <v>343</v>
      </c>
      <c r="C333" s="304" t="s">
        <v>344</v>
      </c>
      <c r="D333" s="55" t="s">
        <v>330</v>
      </c>
      <c r="E333" s="55">
        <v>88.0</v>
      </c>
      <c r="F333" s="264">
        <v>44.539</v>
      </c>
      <c r="G333" s="128">
        <v>-3919.43</v>
      </c>
      <c r="H333" s="55" t="s">
        <v>1251</v>
      </c>
      <c r="I333" s="138">
        <f t="shared" ref="I333:J333" si="337">IFS(AND($B333&lt;&gt;"",$E333&lt;&gt;""),IF(INDEX(N:N,MATCH($C333,$P:$P,0),1)&lt;&gt;"",$E333*INDEX(N:N,MATCH($C333,$P:$P,0),1)+$G333,""),AND($B333&lt;&gt;"",$D333="COST",$G333&lt;0),$G333,TRUE,)</f>
        <v>366.258</v>
      </c>
      <c r="J333" s="138">
        <f t="shared" si="337"/>
        <v>164.58125</v>
      </c>
      <c r="K333" s="266" t="str">
        <f t="shared" si="3"/>
        <v>Vanguard S&amp;P 500 UCITS</v>
      </c>
      <c r="L333" s="156">
        <f t="shared" si="4"/>
        <v>4293</v>
      </c>
      <c r="M333" s="156">
        <f t="shared" si="5"/>
        <v>-183260.93</v>
      </c>
      <c r="N333" s="155" t="str">
        <f>IF($P333&lt;&gt;"",IF(MAXIFS(Investment!$M:$M,Investment!$H:$H,LEFT($P333,30)&amp;"*"),MAXIFS(Investment!$M:$M,Investment!$H:$H,LEFT($P333,30)&amp;"*"),),)</f>
        <v/>
      </c>
      <c r="O333" s="158" t="str">
        <f>IF($P333&lt;&gt;"",IF(MAXIFS(Investment!$AH:$AH,Investment!$H:$H,LEFT($P333,30)&amp;"*"),MAXIFS(Investment!$AH:$AH,Investment!$H:$H,LEFT($P333,30)&amp;"*"),),)</f>
        <v/>
      </c>
      <c r="P333" s="299"/>
      <c r="Q333" s="156"/>
      <c r="R333" s="279"/>
    </row>
    <row r="334">
      <c r="A334" s="122">
        <v>43255.0</v>
      </c>
      <c r="B334" s="55" t="s">
        <v>364</v>
      </c>
      <c r="C334" s="55" t="s">
        <v>366</v>
      </c>
      <c r="D334" s="55" t="s">
        <v>330</v>
      </c>
      <c r="E334" s="55">
        <v>13.0</v>
      </c>
      <c r="F334" s="264">
        <v>159.82</v>
      </c>
      <c r="G334" s="128">
        <v>-2077.66</v>
      </c>
      <c r="H334" s="55" t="s">
        <v>1252</v>
      </c>
      <c r="I334" s="138">
        <f t="shared" ref="I334:J334" si="338">IFS(AND($B334&lt;&gt;"",$E334&lt;&gt;""),IF(INDEX(N:N,MATCH($C334,$P:$P,0),1)&lt;&gt;"",$E334*INDEX(N:N,MATCH($C334,$P:$P,0),1)+$G334,""),AND($B334&lt;&gt;"",$D334="COST",$G334&lt;0),$G334,TRUE,)</f>
        <v>229.84</v>
      </c>
      <c r="J334" s="138">
        <f t="shared" si="338"/>
        <v>103.2855078</v>
      </c>
      <c r="K334" s="266" t="str">
        <f t="shared" si="3"/>
        <v>iShares Treasury Bond 7-10 UCITS</v>
      </c>
      <c r="L334" s="156">
        <f t="shared" si="4"/>
        <v>597</v>
      </c>
      <c r="M334" s="156">
        <f t="shared" si="5"/>
        <v>-91106.6</v>
      </c>
      <c r="N334" s="155" t="str">
        <f>IF($P334&lt;&gt;"",IF(MAXIFS(Investment!$M:$M,Investment!$H:$H,LEFT($P334,30)&amp;"*"),MAXIFS(Investment!$M:$M,Investment!$H:$H,LEFT($P334,30)&amp;"*"),),)</f>
        <v/>
      </c>
      <c r="O334" s="158" t="str">
        <f>IF($P334&lt;&gt;"",IF(MAXIFS(Investment!$AH:$AH,Investment!$H:$H,LEFT($P334,30)&amp;"*"),MAXIFS(Investment!$AH:$AH,Investment!$H:$H,LEFT($P334,30)&amp;"*"),),)</f>
        <v/>
      </c>
      <c r="P334" s="299"/>
      <c r="Q334" s="156"/>
      <c r="R334" s="279"/>
    </row>
    <row r="335">
      <c r="A335" s="122">
        <v>43255.0</v>
      </c>
      <c r="B335" s="55" t="s">
        <v>317</v>
      </c>
      <c r="C335" s="304" t="s">
        <v>318</v>
      </c>
      <c r="D335" s="55" t="s">
        <v>330</v>
      </c>
      <c r="E335" s="55">
        <v>11.0</v>
      </c>
      <c r="F335" s="264">
        <v>105.72</v>
      </c>
      <c r="G335" s="128">
        <v>-1162.92</v>
      </c>
      <c r="H335" s="55" t="s">
        <v>1253</v>
      </c>
      <c r="I335" s="138">
        <f t="shared" ref="I335:J335" si="339">IFS(AND($B335&lt;&gt;"",$E335&lt;&gt;""),IF(INDEX(N:N,MATCH($C335,$P:$P,0),1)&lt;&gt;"",$E335*INDEX(N:N,MATCH($C335,$P:$P,0),1)+$G335,""),AND($B335&lt;&gt;"",$D335="COST",$G335&lt;0),$G335,TRUE,)</f>
        <v>136.18</v>
      </c>
      <c r="J335" s="138">
        <f t="shared" si="339"/>
        <v>-0.186484375</v>
      </c>
      <c r="K335" s="266" t="str">
        <f t="shared" si="3"/>
        <v>ETFS Physical Gold</v>
      </c>
      <c r="L335" s="156">
        <f t="shared" si="4"/>
        <v>443</v>
      </c>
      <c r="M335" s="156">
        <f t="shared" si="5"/>
        <v>-44918.1</v>
      </c>
      <c r="N335" s="155" t="str">
        <f>IF($P335&lt;&gt;"",IF(MAXIFS(Investment!$M:$M,Investment!$H:$H,LEFT($P335,30)&amp;"*"),MAXIFS(Investment!$M:$M,Investment!$H:$H,LEFT($P335,30)&amp;"*"),),)</f>
        <v/>
      </c>
      <c r="O335" s="158" t="str">
        <f>IF($P335&lt;&gt;"",IF(MAXIFS(Investment!$AH:$AH,Investment!$H:$H,LEFT($P335,30)&amp;"*"),MAXIFS(Investment!$AH:$AH,Investment!$H:$H,LEFT($P335,30)&amp;"*"),),)</f>
        <v/>
      </c>
      <c r="P335" s="299"/>
      <c r="Q335" s="156"/>
      <c r="R335" s="279"/>
    </row>
    <row r="336">
      <c r="A336" s="122">
        <v>43252.0</v>
      </c>
      <c r="B336" s="124" t="s">
        <v>364</v>
      </c>
      <c r="C336" s="55" t="s">
        <v>366</v>
      </c>
      <c r="D336" s="298" t="s">
        <v>272</v>
      </c>
      <c r="E336" s="298"/>
      <c r="F336" s="264"/>
      <c r="G336" s="128">
        <v>471.2</v>
      </c>
      <c r="H336" s="305" t="s">
        <v>1254</v>
      </c>
      <c r="I336" s="138" t="str">
        <f t="shared" ref="I336:J336" si="340">IFS(AND($B336&lt;&gt;"",$E336&lt;&gt;""),IF(INDEX(N:N,MATCH($C336,$P:$P,0),1)&lt;&gt;"",$E336*INDEX(N:N,MATCH($C336,$P:$P,0),1)+$G336,""),AND($B336&lt;&gt;"",$D336="COST",$G336&lt;0),$G336,TRUE,)</f>
        <v/>
      </c>
      <c r="J336" s="138" t="str">
        <f t="shared" si="340"/>
        <v/>
      </c>
      <c r="K336" s="266" t="str">
        <f t="shared" si="3"/>
        <v>iShares Treasury Bond 7-10 UCITS</v>
      </c>
      <c r="L336" s="156">
        <f t="shared" si="4"/>
        <v>597</v>
      </c>
      <c r="M336" s="156">
        <f t="shared" si="5"/>
        <v>-91106.6</v>
      </c>
      <c r="N336" s="155" t="str">
        <f>IF($P336&lt;&gt;"",IF(MAXIFS(Investment!$M:$M,Investment!$H:$H,LEFT($P336,30)&amp;"*"),MAXIFS(Investment!$M:$M,Investment!$H:$H,LEFT($P336,30)&amp;"*"),),)</f>
        <v/>
      </c>
      <c r="O336" s="158" t="str">
        <f>IF($P336&lt;&gt;"",IF(MAXIFS(Investment!$AH:$AH,Investment!$H:$H,LEFT($P336,30)&amp;"*"),MAXIFS(Investment!$AH:$AH,Investment!$H:$H,LEFT($P336,30)&amp;"*"),),)</f>
        <v/>
      </c>
      <c r="P336" s="299"/>
      <c r="Q336" s="156"/>
      <c r="R336" s="279"/>
    </row>
    <row r="337">
      <c r="A337" s="122">
        <v>43252.0</v>
      </c>
      <c r="B337" s="124" t="s">
        <v>364</v>
      </c>
      <c r="C337" s="55" t="s">
        <v>366</v>
      </c>
      <c r="D337" s="298" t="s">
        <v>272</v>
      </c>
      <c r="E337" s="298"/>
      <c r="F337" s="264"/>
      <c r="G337" s="128">
        <v>-68.59</v>
      </c>
      <c r="H337" s="305" t="s">
        <v>1255</v>
      </c>
      <c r="I337" s="138" t="str">
        <f t="shared" ref="I337:J337" si="341">IFS(AND($B337&lt;&gt;"",$E337&lt;&gt;""),IF(INDEX(N:N,MATCH($C337,$P:$P,0),1)&lt;&gt;"",$E337*INDEX(N:N,MATCH($C337,$P:$P,0),1)+$G337,""),AND($B337&lt;&gt;"",$D337="COST",$G337&lt;0),$G337,TRUE,)</f>
        <v/>
      </c>
      <c r="J337" s="138" t="str">
        <f t="shared" si="341"/>
        <v/>
      </c>
      <c r="K337" s="266" t="str">
        <f t="shared" si="3"/>
        <v>iShares Treasury Bond 7-10 UCITS</v>
      </c>
      <c r="L337" s="156">
        <f t="shared" si="4"/>
        <v>597</v>
      </c>
      <c r="M337" s="156">
        <f t="shared" si="5"/>
        <v>-91106.6</v>
      </c>
      <c r="N337" s="155" t="str">
        <f>IF($P337&lt;&gt;"",IF(MAXIFS(Investment!$M:$M,Investment!$H:$H,LEFT($P337,30)&amp;"*"),MAXIFS(Investment!$M:$M,Investment!$H:$H,LEFT($P337,30)&amp;"*"),),)</f>
        <v/>
      </c>
      <c r="O337" s="158" t="str">
        <f>IF($P337&lt;&gt;"",IF(MAXIFS(Investment!$AH:$AH,Investment!$H:$H,LEFT($P337,30)&amp;"*"),MAXIFS(Investment!$AH:$AH,Investment!$H:$H,LEFT($P337,30)&amp;"*"),),)</f>
        <v/>
      </c>
      <c r="P337" s="299"/>
      <c r="Q337" s="156"/>
      <c r="R337" s="279"/>
    </row>
    <row r="338">
      <c r="A338" s="122">
        <v>43226.0</v>
      </c>
      <c r="B338" s="124" t="s">
        <v>364</v>
      </c>
      <c r="C338" s="130" t="s">
        <v>1256</v>
      </c>
      <c r="D338" s="298" t="s">
        <v>272</v>
      </c>
      <c r="E338" s="298"/>
      <c r="F338" s="264"/>
      <c r="G338" s="128">
        <v>-7.01</v>
      </c>
      <c r="H338" s="305" t="s">
        <v>1257</v>
      </c>
      <c r="I338" s="138" t="str">
        <f t="shared" ref="I338:J338" si="342">IFS(AND($B338&lt;&gt;"",$E338&lt;&gt;""),IF(INDEX(N:N,MATCH($C338,$P:$P,0),1)&lt;&gt;"",$E338*INDEX(N:N,MATCH($C338,$P:$P,0),1)+$G338,""),AND($B338&lt;&gt;"",$D338="COST",$G338&lt;0),$G338,TRUE,)</f>
        <v/>
      </c>
      <c r="J338" s="138" t="str">
        <f t="shared" si="342"/>
        <v/>
      </c>
      <c r="K338" s="266" t="str">
        <f t="shared" si="3"/>
        <v>Vanguard Intermediate-Term Treasury ETF</v>
      </c>
      <c r="L338" s="156">
        <f t="shared" si="4"/>
        <v>0</v>
      </c>
      <c r="M338" s="156">
        <f t="shared" si="5"/>
        <v>-1817.48</v>
      </c>
      <c r="N338" s="155" t="str">
        <f>IF($P338&lt;&gt;"",IF(MAXIFS(Investment!$M:$M,Investment!$H:$H,LEFT($P338,30)&amp;"*"),MAXIFS(Investment!$M:$M,Investment!$H:$H,LEFT($P338,30)&amp;"*"),),)</f>
        <v/>
      </c>
      <c r="O338" s="158" t="str">
        <f>IF($P338&lt;&gt;"",IF(MAXIFS(Investment!$AH:$AH,Investment!$H:$H,LEFT($P338,30)&amp;"*"),MAXIFS(Investment!$AH:$AH,Investment!$H:$H,LEFT($P338,30)&amp;"*"),),)</f>
        <v/>
      </c>
      <c r="P338" s="299"/>
      <c r="Q338" s="156"/>
      <c r="R338" s="279"/>
    </row>
    <row r="339">
      <c r="A339" s="122">
        <v>43226.0</v>
      </c>
      <c r="B339" s="124" t="s">
        <v>364</v>
      </c>
      <c r="C339" s="130" t="s">
        <v>1256</v>
      </c>
      <c r="D339" s="298" t="s">
        <v>272</v>
      </c>
      <c r="E339" s="298"/>
      <c r="F339" s="264"/>
      <c r="G339" s="128">
        <v>42.49</v>
      </c>
      <c r="H339" s="305" t="s">
        <v>1258</v>
      </c>
      <c r="I339" s="138" t="str">
        <f t="shared" ref="I339:J339" si="343">IFS(AND($B339&lt;&gt;"",$E339&lt;&gt;""),IF(INDEX(N:N,MATCH($C339,$P:$P,0),1)&lt;&gt;"",$E339*INDEX(N:N,MATCH($C339,$P:$P,0),1)+$G339,""),AND($B339&lt;&gt;"",$D339="COST",$G339&lt;0),$G339,TRUE,)</f>
        <v/>
      </c>
      <c r="J339" s="138" t="str">
        <f t="shared" si="343"/>
        <v/>
      </c>
      <c r="K339" s="266" t="str">
        <f t="shared" si="3"/>
        <v>Vanguard Intermediate-Term Treasury ETF</v>
      </c>
      <c r="L339" s="156">
        <f t="shared" si="4"/>
        <v>0</v>
      </c>
      <c r="M339" s="156">
        <f t="shared" si="5"/>
        <v>-1817.48</v>
      </c>
      <c r="N339" s="155" t="str">
        <f>IF($P339&lt;&gt;"",IF(MAXIFS(Investment!$M:$M,Investment!$H:$H,LEFT($P339,30)&amp;"*"),MAXIFS(Investment!$M:$M,Investment!$H:$H,LEFT($P339,30)&amp;"*"),),)</f>
        <v/>
      </c>
      <c r="O339" s="158" t="str">
        <f>IF($P339&lt;&gt;"",IF(MAXIFS(Investment!$AH:$AH,Investment!$H:$H,LEFT($P339,30)&amp;"*"),MAXIFS(Investment!$AH:$AH,Investment!$H:$H,LEFT($P339,30)&amp;"*"),),)</f>
        <v/>
      </c>
      <c r="P339" s="141"/>
      <c r="Q339" s="156"/>
      <c r="R339" s="279"/>
    </row>
    <row r="340">
      <c r="A340" s="122">
        <v>43224.0</v>
      </c>
      <c r="B340" s="124" t="s">
        <v>268</v>
      </c>
      <c r="C340" s="55" t="s">
        <v>673</v>
      </c>
      <c r="D340" s="298" t="s">
        <v>378</v>
      </c>
      <c r="E340" s="298"/>
      <c r="F340" s="264"/>
      <c r="G340" s="128">
        <v>-5.42</v>
      </c>
      <c r="H340" s="305" t="s">
        <v>1259</v>
      </c>
      <c r="I340" s="138">
        <f t="shared" ref="I340:J340" si="344">IFS(AND($B340&lt;&gt;"",$E340&lt;&gt;""),IF(INDEX(N:N,MATCH($C340,$P:$P,0),1)&lt;&gt;"",$E340*INDEX(N:N,MATCH($C340,$P:$P,0),1)+$G340,""),AND($B340&lt;&gt;"",$D340="COST",$G340&lt;0),$G340,TRUE,)</f>
        <v>-5.42</v>
      </c>
      <c r="J340" s="138">
        <f t="shared" si="344"/>
        <v>-5.42</v>
      </c>
      <c r="K340" s="266" t="str">
        <f t="shared" si="3"/>
        <v>iShares Treasury Bond 20+ UCITS USD Dist</v>
      </c>
      <c r="L340" s="156">
        <f t="shared" si="4"/>
        <v>0</v>
      </c>
      <c r="M340" s="156">
        <f t="shared" si="5"/>
        <v>27424.23</v>
      </c>
      <c r="N340" s="155" t="str">
        <f>IF($P340&lt;&gt;"",IF(MAXIFS(Investment!$M:$M,Investment!$H:$H,LEFT($P340,30)&amp;"*"),MAXIFS(Investment!$M:$M,Investment!$H:$H,LEFT($P340,30)&amp;"*"),),)</f>
        <v/>
      </c>
      <c r="O340" s="158" t="str">
        <f>IF($P340&lt;&gt;"",IF(MAXIFS(Investment!$AH:$AH,Investment!$H:$H,LEFT($P340,30)&amp;"*"),MAXIFS(Investment!$AH:$AH,Investment!$H:$H,LEFT($P340,30)&amp;"*"),),)</f>
        <v/>
      </c>
      <c r="P340" s="141"/>
      <c r="Q340" s="156"/>
      <c r="R340" s="279"/>
    </row>
    <row r="341">
      <c r="A341" s="122">
        <v>43224.0</v>
      </c>
      <c r="B341" s="124" t="s">
        <v>268</v>
      </c>
      <c r="C341" s="55" t="s">
        <v>673</v>
      </c>
      <c r="D341" s="298" t="s">
        <v>330</v>
      </c>
      <c r="E341" s="298">
        <v>4546.0</v>
      </c>
      <c r="F341" s="264">
        <v>3.767</v>
      </c>
      <c r="G341" s="128">
        <v>-17125.03</v>
      </c>
      <c r="H341" s="305" t="s">
        <v>1260</v>
      </c>
      <c r="I341" s="138">
        <f t="shared" ref="I341:J341" si="345">IFS(AND($B341&lt;&gt;"",$E341&lt;&gt;""),IF(INDEX(N:N,MATCH($C341,$P:$P,0),1)&lt;&gt;"",$E341*INDEX(N:N,MATCH($C341,$P:$P,0),1)+$G341,""),AND($B341&lt;&gt;"",$D341="COST",$G341&lt;0),$G341,TRUE,)</f>
        <v>2631.886</v>
      </c>
      <c r="J341" s="138">
        <f t="shared" si="345"/>
        <v>978.9346512</v>
      </c>
      <c r="K341" s="266" t="str">
        <f t="shared" si="3"/>
        <v>iShares Treasury Bond 20+ UCITS USD Dist</v>
      </c>
      <c r="L341" s="156">
        <f t="shared" si="4"/>
        <v>0</v>
      </c>
      <c r="M341" s="156">
        <f t="shared" si="5"/>
        <v>27424.23</v>
      </c>
      <c r="N341" s="155" t="str">
        <f>IF($P341&lt;&gt;"",IF(MAXIFS(Investment!$M:$M,Investment!$H:$H,LEFT($P341,30)&amp;"*"),MAXIFS(Investment!$M:$M,Investment!$H:$H,LEFT($P341,30)&amp;"*"),),)</f>
        <v/>
      </c>
      <c r="O341" s="158" t="str">
        <f>IF($P341&lt;&gt;"",IF(MAXIFS(Investment!$AH:$AH,Investment!$H:$H,LEFT($P341,30)&amp;"*"),MAXIFS(Investment!$AH:$AH,Investment!$H:$H,LEFT($P341,30)&amp;"*"),),)</f>
        <v/>
      </c>
      <c r="P341" s="141"/>
      <c r="Q341" s="156"/>
      <c r="R341" s="279"/>
    </row>
    <row r="342">
      <c r="A342" s="122">
        <v>43224.0</v>
      </c>
      <c r="B342" s="124" t="s">
        <v>364</v>
      </c>
      <c r="C342" s="55" t="s">
        <v>366</v>
      </c>
      <c r="D342" s="298" t="s">
        <v>330</v>
      </c>
      <c r="E342" s="298">
        <v>19.0</v>
      </c>
      <c r="F342" s="264">
        <v>158.01</v>
      </c>
      <c r="G342" s="128">
        <v>-3002.19</v>
      </c>
      <c r="H342" s="305" t="s">
        <v>1261</v>
      </c>
      <c r="I342" s="138">
        <f t="shared" ref="I342:J342" si="346">IFS(AND($B342&lt;&gt;"",$E342&lt;&gt;""),IF(INDEX(N:N,MATCH($C342,$P:$P,0),1)&lt;&gt;"",$E342*INDEX(N:N,MATCH($C342,$P:$P,0),1)+$G342,""),AND($B342&lt;&gt;"",$D342="COST",$G342&lt;0),$G342,TRUE,)</f>
        <v>370.31</v>
      </c>
      <c r="J342" s="138">
        <f t="shared" si="346"/>
        <v>185.3457422</v>
      </c>
      <c r="K342" s="266" t="str">
        <f t="shared" si="3"/>
        <v>iShares Treasury Bond 7-10 UCITS</v>
      </c>
      <c r="L342" s="156">
        <f t="shared" si="4"/>
        <v>597</v>
      </c>
      <c r="M342" s="156">
        <f t="shared" si="5"/>
        <v>-91106.6</v>
      </c>
      <c r="N342" s="155" t="str">
        <f>IF($P342&lt;&gt;"",IF(MAXIFS(Investment!$M:$M,Investment!$H:$H,LEFT($P342,30)&amp;"*"),MAXIFS(Investment!$M:$M,Investment!$H:$H,LEFT($P342,30)&amp;"*"),),)</f>
        <v/>
      </c>
      <c r="O342" s="158" t="str">
        <f>IF($P342&lt;&gt;"",IF(MAXIFS(Investment!$AH:$AH,Investment!$H:$H,LEFT($P342,30)&amp;"*"),MAXIFS(Investment!$AH:$AH,Investment!$H:$H,LEFT($P342,30)&amp;"*"),),)</f>
        <v/>
      </c>
      <c r="P342" s="141"/>
      <c r="Q342" s="156"/>
      <c r="R342" s="279"/>
    </row>
    <row r="343">
      <c r="A343" s="122">
        <v>43224.0</v>
      </c>
      <c r="B343" s="124"/>
      <c r="C343" s="130"/>
      <c r="D343" s="298" t="s">
        <v>378</v>
      </c>
      <c r="E343" s="298"/>
      <c r="F343" s="264"/>
      <c r="G343" s="128">
        <v>-140.97</v>
      </c>
      <c r="H343" s="305" t="s">
        <v>1262</v>
      </c>
      <c r="I343" s="138" t="str">
        <f t="shared" ref="I343:J343" si="347">IFS(AND($B343&lt;&gt;"",$E343&lt;&gt;""),IF(INDEX(N:N,MATCH($C343,$P:$P,0),1)&lt;&gt;"",$E343*INDEX(N:N,MATCH($C343,$P:$P,0),1)+$G343,""),AND($B343&lt;&gt;"",$D343="COST",$G343&lt;0),$G343,TRUE,)</f>
        <v/>
      </c>
      <c r="J343" s="138" t="str">
        <f t="shared" si="347"/>
        <v/>
      </c>
      <c r="K343" s="266" t="str">
        <f t="shared" si="3"/>
        <v/>
      </c>
      <c r="L343" s="156" t="str">
        <f t="shared" si="4"/>
        <v/>
      </c>
      <c r="M343" s="156" t="str">
        <f t="shared" si="5"/>
        <v/>
      </c>
      <c r="N343" s="155" t="str">
        <f>IF($P343&lt;&gt;"",IF(MAXIFS(Investment!$M:$M,Investment!$H:$H,LEFT($P343,30)&amp;"*"),MAXIFS(Investment!$M:$M,Investment!$H:$H,LEFT($P343,30)&amp;"*"),),)</f>
        <v/>
      </c>
      <c r="O343" s="158" t="str">
        <f>IF($P343&lt;&gt;"",IF(MAXIFS(Investment!$AH:$AH,Investment!$H:$H,LEFT($P343,30)&amp;"*"),MAXIFS(Investment!$AH:$AH,Investment!$H:$H,LEFT($P343,30)&amp;"*"),),)</f>
        <v/>
      </c>
      <c r="P343" s="141"/>
      <c r="Q343" s="156"/>
      <c r="R343" s="279"/>
    </row>
    <row r="344">
      <c r="A344" s="122">
        <v>43224.0</v>
      </c>
      <c r="B344" s="124" t="s">
        <v>268</v>
      </c>
      <c r="C344" s="130" t="s">
        <v>1196</v>
      </c>
      <c r="D344" s="298" t="s">
        <v>319</v>
      </c>
      <c r="E344" s="298">
        <v>-707.0</v>
      </c>
      <c r="F344" s="264">
        <v>93.145</v>
      </c>
      <c r="G344" s="128">
        <v>65853.53</v>
      </c>
      <c r="H344" s="305" t="s">
        <v>1263</v>
      </c>
      <c r="I344" s="138" t="str">
        <f t="shared" ref="I344:J344" si="348">IFS(AND($B344&lt;&gt;"",$E344&lt;&gt;""),IF(INDEX(N:N,MATCH($C344,$P:$P,0),1)&lt;&gt;"",$E344*INDEX(N:N,MATCH($C344,$P:$P,0),1)+$G344,""),AND($B344&lt;&gt;"",$D344="COST",$G344&lt;0),$G344,TRUE,)</f>
        <v/>
      </c>
      <c r="J344" s="138" t="str">
        <f t="shared" si="348"/>
        <v/>
      </c>
      <c r="K344" s="266" t="str">
        <f t="shared" si="3"/>
        <v>Vanguard Extended Duration Treasury ETF</v>
      </c>
      <c r="L344" s="156">
        <f t="shared" si="4"/>
        <v>0</v>
      </c>
      <c r="M344" s="156">
        <f t="shared" si="5"/>
        <v>-4941.36</v>
      </c>
      <c r="N344" s="155" t="str">
        <f>IF($P344&lt;&gt;"",IF(MAXIFS(Investment!$M:$M,Investment!$H:$H,LEFT($P344,30)&amp;"*"),MAXIFS(Investment!$M:$M,Investment!$H:$H,LEFT($P344,30)&amp;"*"),),)</f>
        <v/>
      </c>
      <c r="O344" s="158" t="str">
        <f>IF($P344&lt;&gt;"",IF(MAXIFS(Investment!$AH:$AH,Investment!$H:$H,LEFT($P344,30)&amp;"*"),MAXIFS(Investment!$AH:$AH,Investment!$H:$H,LEFT($P344,30)&amp;"*"),),)</f>
        <v/>
      </c>
      <c r="P344" s="141"/>
      <c r="Q344" s="156"/>
      <c r="R344" s="279"/>
    </row>
    <row r="345">
      <c r="A345" s="122">
        <v>43224.0</v>
      </c>
      <c r="B345" s="124" t="s">
        <v>268</v>
      </c>
      <c r="C345" s="55" t="s">
        <v>673</v>
      </c>
      <c r="D345" s="298" t="s">
        <v>378</v>
      </c>
      <c r="E345" s="298"/>
      <c r="F345" s="264"/>
      <c r="G345" s="128">
        <v>-17.04</v>
      </c>
      <c r="H345" s="305" t="s">
        <v>1264</v>
      </c>
      <c r="I345" s="138">
        <f t="shared" ref="I345:J345" si="349">IFS(AND($B345&lt;&gt;"",$E345&lt;&gt;""),IF(INDEX(N:N,MATCH($C345,$P:$P,0),1)&lt;&gt;"",$E345*INDEX(N:N,MATCH($C345,$P:$P,0),1)+$G345,""),AND($B345&lt;&gt;"",$D345="COST",$G345&lt;0),$G345,TRUE,)</f>
        <v>-17.04</v>
      </c>
      <c r="J345" s="138">
        <f t="shared" si="349"/>
        <v>-17.04</v>
      </c>
      <c r="K345" s="266" t="str">
        <f t="shared" si="3"/>
        <v>iShares Treasury Bond 20+ UCITS USD Dist</v>
      </c>
      <c r="L345" s="156">
        <f t="shared" si="4"/>
        <v>0</v>
      </c>
      <c r="M345" s="156">
        <f t="shared" si="5"/>
        <v>27424.23</v>
      </c>
      <c r="N345" s="155" t="str">
        <f>IF($P345&lt;&gt;"",IF(MAXIFS(Investment!$M:$M,Investment!$H:$H,LEFT($P345,30)&amp;"*"),MAXIFS(Investment!$M:$M,Investment!$H:$H,LEFT($P345,30)&amp;"*"),),)</f>
        <v/>
      </c>
      <c r="O345" s="158" t="str">
        <f>IF($P345&lt;&gt;"",IF(MAXIFS(Investment!$AH:$AH,Investment!$H:$H,LEFT($P345,30)&amp;"*"),MAXIFS(Investment!$AH:$AH,Investment!$H:$H,LEFT($P345,30)&amp;"*"),),)</f>
        <v/>
      </c>
      <c r="P345" s="141"/>
      <c r="Q345" s="156"/>
      <c r="R345" s="279"/>
    </row>
    <row r="346">
      <c r="A346" s="122">
        <v>43224.0</v>
      </c>
      <c r="B346" s="124" t="s">
        <v>268</v>
      </c>
      <c r="C346" s="55" t="s">
        <v>673</v>
      </c>
      <c r="D346" s="298" t="s">
        <v>330</v>
      </c>
      <c r="E346" s="298">
        <v>20019.0</v>
      </c>
      <c r="F346" s="264">
        <v>3.758</v>
      </c>
      <c r="G346" s="128">
        <v>-75232.62</v>
      </c>
      <c r="H346" s="305" t="s">
        <v>1265</v>
      </c>
      <c r="I346" s="138">
        <f t="shared" ref="I346:J346" si="350">IFS(AND($B346&lt;&gt;"",$E346&lt;&gt;""),IF(INDEX(N:N,MATCH($C346,$P:$P,0),1)&lt;&gt;"",$E346*INDEX(N:N,MATCH($C346,$P:$P,0),1)+$G346,""),AND($B346&lt;&gt;"",$D346="COST",$G346&lt;0),$G346,TRUE,)</f>
        <v>11769.954</v>
      </c>
      <c r="J346" s="138">
        <f t="shared" si="350"/>
        <v>4490.932211</v>
      </c>
      <c r="K346" s="266" t="str">
        <f t="shared" si="3"/>
        <v>iShares Treasury Bond 20+ UCITS USD Dist</v>
      </c>
      <c r="L346" s="156">
        <f t="shared" si="4"/>
        <v>0</v>
      </c>
      <c r="M346" s="156">
        <f t="shared" si="5"/>
        <v>27424.23</v>
      </c>
      <c r="N346" s="155" t="str">
        <f>IF($P346&lt;&gt;"",IF(MAXIFS(Investment!$M:$M,Investment!$H:$H,LEFT($P346,30)&amp;"*"),MAXIFS(Investment!$M:$M,Investment!$H:$H,LEFT($P346,30)&amp;"*"),),)</f>
        <v/>
      </c>
      <c r="O346" s="158" t="str">
        <f>IF($P346&lt;&gt;"",IF(MAXIFS(Investment!$AH:$AH,Investment!$H:$H,LEFT($P346,30)&amp;"*"),MAXIFS(Investment!$AH:$AH,Investment!$H:$H,LEFT($P346,30)&amp;"*"),),)</f>
        <v/>
      </c>
      <c r="P346" s="141"/>
      <c r="Q346" s="156"/>
      <c r="R346" s="279"/>
    </row>
    <row r="347">
      <c r="A347" s="122">
        <v>43224.0</v>
      </c>
      <c r="B347" s="124" t="s">
        <v>343</v>
      </c>
      <c r="C347" s="130" t="s">
        <v>344</v>
      </c>
      <c r="D347" s="298" t="s">
        <v>330</v>
      </c>
      <c r="E347" s="298">
        <v>85.0</v>
      </c>
      <c r="F347" s="264">
        <v>42.11</v>
      </c>
      <c r="G347" s="128">
        <v>-3579.35</v>
      </c>
      <c r="H347" s="305" t="s">
        <v>1266</v>
      </c>
      <c r="I347" s="138">
        <f t="shared" ref="I347:J347" si="351">IFS(AND($B347&lt;&gt;"",$E347&lt;&gt;""),IF(INDEX(N:N,MATCH($C347,$P:$P,0),1)&lt;&gt;"",$E347*INDEX(N:N,MATCH($C347,$P:$P,0),1)+$G347,""),AND($B347&lt;&gt;"",$D347="COST",$G347&lt;0),$G347,TRUE,)</f>
        <v>560.235</v>
      </c>
      <c r="J347" s="138">
        <f t="shared" si="351"/>
        <v>365.4335938</v>
      </c>
      <c r="K347" s="266" t="str">
        <f t="shared" si="3"/>
        <v>Vanguard S&amp;P 500 UCITS</v>
      </c>
      <c r="L347" s="156">
        <f t="shared" si="4"/>
        <v>4293</v>
      </c>
      <c r="M347" s="156">
        <f t="shared" si="5"/>
        <v>-183260.93</v>
      </c>
      <c r="N347" s="155" t="str">
        <f>IF($P347&lt;&gt;"",IF(MAXIFS(Investment!$M:$M,Investment!$H:$H,LEFT($P347,30)&amp;"*"),MAXIFS(Investment!$M:$M,Investment!$H:$H,LEFT($P347,30)&amp;"*"),),)</f>
        <v/>
      </c>
      <c r="O347" s="158" t="str">
        <f>IF($P347&lt;&gt;"",IF(MAXIFS(Investment!$AH:$AH,Investment!$H:$H,LEFT($P347,30)&amp;"*"),MAXIFS(Investment!$AH:$AH,Investment!$H:$H,LEFT($P347,30)&amp;"*"),),)</f>
        <v/>
      </c>
      <c r="P347" s="141"/>
      <c r="Q347" s="156"/>
      <c r="R347" s="279"/>
    </row>
    <row r="348">
      <c r="A348" s="122">
        <v>43224.0</v>
      </c>
      <c r="B348" s="124" t="s">
        <v>364</v>
      </c>
      <c r="C348" s="55" t="s">
        <v>366</v>
      </c>
      <c r="D348" s="298" t="s">
        <v>330</v>
      </c>
      <c r="E348" s="298">
        <v>16.0</v>
      </c>
      <c r="F348" s="264">
        <v>158.17</v>
      </c>
      <c r="G348" s="128">
        <v>-2530.72</v>
      </c>
      <c r="H348" s="305" t="s">
        <v>1267</v>
      </c>
      <c r="I348" s="138">
        <f t="shared" ref="I348:J348" si="352">IFS(AND($B348&lt;&gt;"",$E348&lt;&gt;""),IF(INDEX(N:N,MATCH($C348,$P:$P,0),1)&lt;&gt;"",$E348*INDEX(N:N,MATCH($C348,$P:$P,0),1)+$G348,""),AND($B348&lt;&gt;"",$D348="COST",$G348&lt;0),$G348,TRUE,)</f>
        <v>309.28</v>
      </c>
      <c r="J348" s="138">
        <f t="shared" si="352"/>
        <v>153.520625</v>
      </c>
      <c r="K348" s="266" t="str">
        <f t="shared" si="3"/>
        <v>iShares Treasury Bond 7-10 UCITS</v>
      </c>
      <c r="L348" s="156">
        <f t="shared" si="4"/>
        <v>597</v>
      </c>
      <c r="M348" s="156">
        <f t="shared" si="5"/>
        <v>-91106.6</v>
      </c>
      <c r="N348" s="155" t="str">
        <f>IF($P348&lt;&gt;"",IF(MAXIFS(Investment!$M:$M,Investment!$H:$H,LEFT($P348,30)&amp;"*"),MAXIFS(Investment!$M:$M,Investment!$H:$H,LEFT($P348,30)&amp;"*"),),)</f>
        <v/>
      </c>
      <c r="O348" s="158" t="str">
        <f>IF($P348&lt;&gt;"",IF(MAXIFS(Investment!$AH:$AH,Investment!$H:$H,LEFT($P348,30)&amp;"*"),MAXIFS(Investment!$AH:$AH,Investment!$H:$H,LEFT($P348,30)&amp;"*"),),)</f>
        <v/>
      </c>
      <c r="P348" s="141"/>
      <c r="Q348" s="156"/>
      <c r="R348" s="279"/>
    </row>
    <row r="349">
      <c r="A349" s="122">
        <v>43224.0</v>
      </c>
      <c r="B349" s="124" t="s">
        <v>317</v>
      </c>
      <c r="C349" s="130" t="s">
        <v>318</v>
      </c>
      <c r="D349" s="298" t="s">
        <v>330</v>
      </c>
      <c r="E349" s="298">
        <v>39.0</v>
      </c>
      <c r="F349" s="264">
        <v>105.24</v>
      </c>
      <c r="G349" s="128">
        <v>-4104.36</v>
      </c>
      <c r="H349" s="305" t="s">
        <v>1268</v>
      </c>
      <c r="I349" s="138">
        <f t="shared" ref="I349:J349" si="353">IFS(AND($B349&lt;&gt;"",$E349&lt;&gt;""),IF(INDEX(N:N,MATCH($C349,$P:$P,0),1)&lt;&gt;"",$E349*INDEX(N:N,MATCH($C349,$P:$P,0),1)+$G349,""),AND($B349&lt;&gt;"",$D349="COST",$G349&lt;0),$G349,TRUE,)</f>
        <v>501.54</v>
      </c>
      <c r="J349" s="138">
        <f t="shared" si="353"/>
        <v>18.05882813</v>
      </c>
      <c r="K349" s="266" t="str">
        <f t="shared" si="3"/>
        <v>ETFS Physical Gold</v>
      </c>
      <c r="L349" s="156">
        <f t="shared" si="4"/>
        <v>443</v>
      </c>
      <c r="M349" s="156">
        <f t="shared" si="5"/>
        <v>-44918.1</v>
      </c>
      <c r="N349" s="155" t="str">
        <f>IF($P349&lt;&gt;"",IF(MAXIFS(Investment!$M:$M,Investment!$H:$H,LEFT($P349,30)&amp;"*"),MAXIFS(Investment!$M:$M,Investment!$H:$H,LEFT($P349,30)&amp;"*"),),)</f>
        <v/>
      </c>
      <c r="O349" s="158" t="str">
        <f>IF($P349&lt;&gt;"",IF(MAXIFS(Investment!$AH:$AH,Investment!$H:$H,LEFT($P349,30)&amp;"*"),MAXIFS(Investment!$AH:$AH,Investment!$H:$H,LEFT($P349,30)&amp;"*"),),)</f>
        <v/>
      </c>
      <c r="P349" s="141"/>
      <c r="Q349" s="156"/>
      <c r="R349" s="279"/>
    </row>
    <row r="350">
      <c r="A350" s="122">
        <v>43223.0</v>
      </c>
      <c r="B350" s="124" t="s">
        <v>317</v>
      </c>
      <c r="C350" s="130" t="s">
        <v>1269</v>
      </c>
      <c r="D350" s="298" t="s">
        <v>319</v>
      </c>
      <c r="E350" s="298">
        <v>-1319.0</v>
      </c>
      <c r="F350" s="264">
        <v>10.527</v>
      </c>
      <c r="G350" s="128">
        <v>13885.34</v>
      </c>
      <c r="H350" s="305" t="s">
        <v>1270</v>
      </c>
      <c r="I350" s="138" t="str">
        <f t="shared" ref="I350:J350" si="354">IFS(AND($B350&lt;&gt;"",$E350&lt;&gt;""),IF(INDEX(N:N,MATCH($C350,$P:$P,0),1)&lt;&gt;"",$E350*INDEX(N:N,MATCH($C350,$P:$P,0),1)+$G350,""),AND($B350&lt;&gt;"",$D350="COST",$G350&lt;0),$G350,TRUE,)</f>
        <v/>
      </c>
      <c r="J350" s="138" t="str">
        <f t="shared" si="354"/>
        <v/>
      </c>
      <c r="K350" s="266" t="str">
        <f t="shared" si="3"/>
        <v>iShares Gold Trust</v>
      </c>
      <c r="L350" s="156">
        <f t="shared" si="4"/>
        <v>0</v>
      </c>
      <c r="M350" s="156">
        <f t="shared" si="5"/>
        <v>140.23</v>
      </c>
      <c r="N350" s="155" t="str">
        <f>IF($P350&lt;&gt;"",IF(MAXIFS(Investment!$M:$M,Investment!$H:$H,LEFT($P350,30)&amp;"*"),MAXIFS(Investment!$M:$M,Investment!$H:$H,LEFT($P350,30)&amp;"*"),),)</f>
        <v/>
      </c>
      <c r="O350" s="158" t="str">
        <f>IF($P350&lt;&gt;"",IF(MAXIFS(Investment!$AH:$AH,Investment!$H:$H,LEFT($P350,30)&amp;"*"),MAXIFS(Investment!$AH:$AH,Investment!$H:$H,LEFT($P350,30)&amp;"*"),),)</f>
        <v/>
      </c>
      <c r="P350" s="141"/>
      <c r="Q350" s="156"/>
      <c r="R350" s="279"/>
    </row>
    <row r="351">
      <c r="A351" s="122">
        <v>43223.0</v>
      </c>
      <c r="B351" s="124" t="s">
        <v>317</v>
      </c>
      <c r="C351" s="130" t="s">
        <v>318</v>
      </c>
      <c r="D351" s="298" t="s">
        <v>330</v>
      </c>
      <c r="E351" s="298">
        <v>144.0</v>
      </c>
      <c r="F351" s="264">
        <v>105.161</v>
      </c>
      <c r="G351" s="128">
        <v>-15143.25</v>
      </c>
      <c r="H351" s="305" t="s">
        <v>1271</v>
      </c>
      <c r="I351" s="138">
        <f t="shared" ref="I351:J351" si="355">IFS(AND($B351&lt;&gt;"",$E351&lt;&gt;""),IF(INDEX(N:N,MATCH($C351,$P:$P,0),1)&lt;&gt;"",$E351*INDEX(N:N,MATCH($C351,$P:$P,0),1)+$G351,""),AND($B351&lt;&gt;"",$D351="COST",$G351&lt;0),$G351,TRUE,)</f>
        <v>1863.15</v>
      </c>
      <c r="J351" s="138">
        <f t="shared" si="355"/>
        <v>77.98875</v>
      </c>
      <c r="K351" s="266" t="str">
        <f t="shared" si="3"/>
        <v>ETFS Physical Gold</v>
      </c>
      <c r="L351" s="156">
        <f t="shared" si="4"/>
        <v>443</v>
      </c>
      <c r="M351" s="156">
        <f t="shared" si="5"/>
        <v>-44918.1</v>
      </c>
      <c r="N351" s="155" t="str">
        <f>IF($P351&lt;&gt;"",IF(MAXIFS(Investment!$M:$M,Investment!$H:$H,LEFT($P351,30)&amp;"*"),MAXIFS(Investment!$M:$M,Investment!$H:$H,LEFT($P351,30)&amp;"*"),),)</f>
        <v/>
      </c>
      <c r="O351" s="158" t="str">
        <f>IF($P351&lt;&gt;"",IF(MAXIFS(Investment!$AH:$AH,Investment!$H:$H,LEFT($P351,30)&amp;"*"),MAXIFS(Investment!$AH:$AH,Investment!$H:$H,LEFT($P351,30)&amp;"*"),),)</f>
        <v/>
      </c>
      <c r="P351" s="141"/>
      <c r="Q351" s="156"/>
      <c r="R351" s="279"/>
    </row>
    <row r="352">
      <c r="A352" s="122">
        <v>43223.0</v>
      </c>
      <c r="B352" s="124" t="s">
        <v>328</v>
      </c>
      <c r="C352" s="130" t="s">
        <v>329</v>
      </c>
      <c r="D352" s="298" t="s">
        <v>319</v>
      </c>
      <c r="E352" s="298">
        <v>-180.0</v>
      </c>
      <c r="F352" s="264">
        <v>7.566</v>
      </c>
      <c r="G352" s="128">
        <v>1361.88</v>
      </c>
      <c r="H352" s="305" t="s">
        <v>1272</v>
      </c>
      <c r="I352" s="138">
        <f t="shared" ref="I352:J352" si="356">IFS(AND($B352&lt;&gt;"",$E352&lt;&gt;""),IF(INDEX(N:N,MATCH($C352,$P:$P,0),1)&lt;&gt;"",$E352*INDEX(N:N,MATCH($C352,$P:$P,0),1)+$G352,""),AND($B352&lt;&gt;"",$D352="COST",$G352&lt;0),$G352,TRUE,)</f>
        <v>65.52</v>
      </c>
      <c r="J352" s="138">
        <f t="shared" si="356"/>
        <v>44.03320313</v>
      </c>
      <c r="K352" s="266" t="str">
        <f t="shared" si="3"/>
        <v>ETFS All Commodities ETC</v>
      </c>
      <c r="L352" s="156">
        <f t="shared" si="4"/>
        <v>11470</v>
      </c>
      <c r="M352" s="156">
        <f t="shared" si="5"/>
        <v>-83154.49</v>
      </c>
      <c r="N352" s="155" t="str">
        <f>IF($P352&lt;&gt;"",IF(MAXIFS(Investment!$M:$M,Investment!$H:$H,LEFT($P352,30)&amp;"*"),MAXIFS(Investment!$M:$M,Investment!$H:$H,LEFT($P352,30)&amp;"*"),),)</f>
        <v/>
      </c>
      <c r="O352" s="158" t="str">
        <f>IF($P352&lt;&gt;"",IF(MAXIFS(Investment!$AH:$AH,Investment!$H:$H,LEFT($P352,30)&amp;"*"),MAXIFS(Investment!$AH:$AH,Investment!$H:$H,LEFT($P352,30)&amp;"*"),),)</f>
        <v/>
      </c>
      <c r="P352" s="141"/>
      <c r="Q352" s="156"/>
      <c r="R352" s="279"/>
    </row>
    <row r="353">
      <c r="A353" s="122">
        <v>43223.0</v>
      </c>
      <c r="B353" s="124" t="s">
        <v>364</v>
      </c>
      <c r="C353" s="130" t="s">
        <v>1256</v>
      </c>
      <c r="D353" s="298" t="s">
        <v>378</v>
      </c>
      <c r="E353" s="298"/>
      <c r="F353" s="264"/>
      <c r="G353" s="128">
        <v>-7.14</v>
      </c>
      <c r="H353" s="305" t="s">
        <v>1273</v>
      </c>
      <c r="I353" s="138">
        <f t="shared" ref="I353:J353" si="357">IFS(AND($B353&lt;&gt;"",$E353&lt;&gt;""),IF(INDEX(N:N,MATCH($C353,$P:$P,0),1)&lt;&gt;"",$E353*INDEX(N:N,MATCH($C353,$P:$P,0),1)+$G353,""),AND($B353&lt;&gt;"",$D353="COST",$G353&lt;0),$G353,TRUE,)</f>
        <v>-7.14</v>
      </c>
      <c r="J353" s="138">
        <f t="shared" si="357"/>
        <v>-7.14</v>
      </c>
      <c r="K353" s="266" t="str">
        <f t="shared" si="3"/>
        <v>Vanguard Intermediate-Term Treasury ETF</v>
      </c>
      <c r="L353" s="156">
        <f t="shared" si="4"/>
        <v>0</v>
      </c>
      <c r="M353" s="156">
        <f t="shared" si="5"/>
        <v>-1817.48</v>
      </c>
      <c r="N353" s="155" t="str">
        <f>IF($P353&lt;&gt;"",IF(MAXIFS(Investment!$M:$M,Investment!$H:$H,LEFT($P353,30)&amp;"*"),MAXIFS(Investment!$M:$M,Investment!$H:$H,LEFT($P353,30)&amp;"*"),),)</f>
        <v/>
      </c>
      <c r="O353" s="158" t="str">
        <f>IF($P353&lt;&gt;"",IF(MAXIFS(Investment!$AH:$AH,Investment!$H:$H,LEFT($P353,30)&amp;"*"),MAXIFS(Investment!$AH:$AH,Investment!$H:$H,LEFT($P353,30)&amp;"*"),),)</f>
        <v/>
      </c>
      <c r="P353" s="141"/>
      <c r="Q353" s="156"/>
      <c r="R353" s="279"/>
    </row>
    <row r="354">
      <c r="A354" s="122">
        <v>43223.0</v>
      </c>
      <c r="B354" s="124" t="s">
        <v>364</v>
      </c>
      <c r="C354" s="130" t="s">
        <v>1256</v>
      </c>
      <c r="D354" s="298" t="s">
        <v>319</v>
      </c>
      <c r="E354" s="298">
        <v>-493.0</v>
      </c>
      <c r="F354" s="264">
        <v>52.066</v>
      </c>
      <c r="G354" s="128">
        <v>25668.61</v>
      </c>
      <c r="H354" s="305" t="s">
        <v>1274</v>
      </c>
      <c r="I354" s="138" t="str">
        <f t="shared" ref="I354:J354" si="358">IFS(AND($B354&lt;&gt;"",$E354&lt;&gt;""),IF(INDEX(N:N,MATCH($C354,$P:$P,0),1)&lt;&gt;"",$E354*INDEX(N:N,MATCH($C354,$P:$P,0),1)+$G354,""),AND($B354&lt;&gt;"",$D354="COST",$G354&lt;0),$G354,TRUE,)</f>
        <v/>
      </c>
      <c r="J354" s="138" t="str">
        <f t="shared" si="358"/>
        <v/>
      </c>
      <c r="K354" s="266" t="str">
        <f t="shared" si="3"/>
        <v>Vanguard Intermediate-Term Treasury ETF</v>
      </c>
      <c r="L354" s="156">
        <f t="shared" si="4"/>
        <v>0</v>
      </c>
      <c r="M354" s="156">
        <f t="shared" si="5"/>
        <v>-1817.48</v>
      </c>
      <c r="N354" s="155" t="str">
        <f>IF($P354&lt;&gt;"",IF(MAXIFS(Investment!$M:$M,Investment!$H:$H,LEFT($P354,30)&amp;"*"),MAXIFS(Investment!$M:$M,Investment!$H:$H,LEFT($P354,30)&amp;"*"),),)</f>
        <v/>
      </c>
      <c r="O354" s="158" t="str">
        <f>IF($P354&lt;&gt;"",IF(MAXIFS(Investment!$AH:$AH,Investment!$H:$H,LEFT($P354,30)&amp;"*"),MAXIFS(Investment!$AH:$AH,Investment!$H:$H,LEFT($P354,30)&amp;"*"),),)</f>
        <v/>
      </c>
      <c r="P354" s="141"/>
      <c r="Q354" s="156"/>
      <c r="R354" s="279"/>
    </row>
    <row r="355">
      <c r="A355" s="122">
        <v>43223.0</v>
      </c>
      <c r="B355" s="124" t="s">
        <v>364</v>
      </c>
      <c r="C355" s="55" t="s">
        <v>366</v>
      </c>
      <c r="D355" s="298" t="s">
        <v>330</v>
      </c>
      <c r="E355" s="298">
        <v>185.0</v>
      </c>
      <c r="F355" s="264">
        <v>158.21</v>
      </c>
      <c r="G355" s="128">
        <v>-29268.85</v>
      </c>
      <c r="H355" s="305" t="s">
        <v>1275</v>
      </c>
      <c r="I355" s="138">
        <f t="shared" ref="I355:J355" si="359">IFS(AND($B355&lt;&gt;"",$E355&lt;&gt;""),IF(INDEX(N:N,MATCH($C355,$P:$P,0),1)&lt;&gt;"",$E355*INDEX(N:N,MATCH($C355,$P:$P,0),1)+$G355,""),AND($B355&lt;&gt;"",$D355="COST",$G355&lt;0),$G355,TRUE,)</f>
        <v>3568.65</v>
      </c>
      <c r="J355" s="138">
        <f t="shared" si="359"/>
        <v>1767.682227</v>
      </c>
      <c r="K355" s="266" t="str">
        <f t="shared" si="3"/>
        <v>iShares Treasury Bond 7-10 UCITS</v>
      </c>
      <c r="L355" s="156">
        <f t="shared" si="4"/>
        <v>597</v>
      </c>
      <c r="M355" s="156">
        <f t="shared" si="5"/>
        <v>-91106.6</v>
      </c>
      <c r="N355" s="155" t="str">
        <f>IF($P355&lt;&gt;"",IF(MAXIFS(Investment!$M:$M,Investment!$H:$H,LEFT($P355,30)&amp;"*"),MAXIFS(Investment!$M:$M,Investment!$H:$H,LEFT($P355,30)&amp;"*"),),)</f>
        <v/>
      </c>
      <c r="O355" s="158" t="str">
        <f>IF($P355&lt;&gt;"",IF(MAXIFS(Investment!$AH:$AH,Investment!$H:$H,LEFT($P355,30)&amp;"*"),MAXIFS(Investment!$AH:$AH,Investment!$H:$H,LEFT($P355,30)&amp;"*"),),)</f>
        <v/>
      </c>
      <c r="P355" s="141"/>
      <c r="Q355" s="156"/>
      <c r="R355" s="279"/>
    </row>
    <row r="356">
      <c r="A356" s="122">
        <v>43220.0</v>
      </c>
      <c r="B356" s="124" t="s">
        <v>328</v>
      </c>
      <c r="C356" s="130" t="s">
        <v>329</v>
      </c>
      <c r="D356" s="298" t="s">
        <v>319</v>
      </c>
      <c r="E356" s="298">
        <v>-1893.0</v>
      </c>
      <c r="F356" s="264">
        <v>7.451</v>
      </c>
      <c r="G356" s="128">
        <v>14104.74</v>
      </c>
      <c r="H356" s="305" t="s">
        <v>1276</v>
      </c>
      <c r="I356" s="138">
        <f t="shared" ref="I356:J356" si="360">IFS(AND($B356&lt;&gt;"",$E356&lt;&gt;""),IF(INDEX(N:N,MATCH($C356,$P:$P,0),1)&lt;&gt;"",$E356*INDEX(N:N,MATCH($C356,$P:$P,0),1)+$G356,""),AND($B356&lt;&gt;"",$D356="COST",$G356&lt;0),$G356,TRUE,)</f>
        <v>471.354</v>
      </c>
      <c r="J356" s="138">
        <f t="shared" si="360"/>
        <v>245.3845195</v>
      </c>
      <c r="K356" s="266" t="str">
        <f t="shared" si="3"/>
        <v>ETFS All Commodities ETC</v>
      </c>
      <c r="L356" s="156">
        <f t="shared" si="4"/>
        <v>11470</v>
      </c>
      <c r="M356" s="156">
        <f t="shared" si="5"/>
        <v>-83154.49</v>
      </c>
      <c r="N356" s="155" t="str">
        <f>IF($P356&lt;&gt;"",IF(MAXIFS(Investment!$M:$M,Investment!$H:$H,LEFT($P356,30)&amp;"*"),MAXIFS(Investment!$M:$M,Investment!$H:$H,LEFT($P356,30)&amp;"*"),),)</f>
        <v/>
      </c>
      <c r="O356" s="158" t="str">
        <f>IF($P356&lt;&gt;"",IF(MAXIFS(Investment!$AH:$AH,Investment!$H:$H,LEFT($P356,30)&amp;"*"),MAXIFS(Investment!$AH:$AH,Investment!$H:$H,LEFT($P356,30)&amp;"*"),),)</f>
        <v/>
      </c>
      <c r="P356" s="141"/>
      <c r="Q356" s="156"/>
      <c r="R356" s="279"/>
    </row>
    <row r="357">
      <c r="A357" s="122">
        <v>43220.0</v>
      </c>
      <c r="B357" s="124" t="s">
        <v>343</v>
      </c>
      <c r="C357" s="130" t="s">
        <v>344</v>
      </c>
      <c r="D357" s="298" t="s">
        <v>319</v>
      </c>
      <c r="E357" s="298">
        <v>-449.0</v>
      </c>
      <c r="F357" s="264">
        <v>41.972</v>
      </c>
      <c r="G357" s="128">
        <v>18845.44</v>
      </c>
      <c r="H357" s="305" t="s">
        <v>1277</v>
      </c>
      <c r="I357" s="138">
        <f t="shared" ref="I357:J357" si="361">IFS(AND($B357&lt;&gt;"",$E357&lt;&gt;""),IF(INDEX(N:N,MATCH($C357,$P:$P,0),1)&lt;&gt;"",$E357*INDEX(N:N,MATCH($C357,$P:$P,0),1)+$G357,""),AND($B357&lt;&gt;"",$D357="COST",$G357&lt;0),$G357,TRUE,)</f>
        <v>-3021.309</v>
      </c>
      <c r="J357" s="138">
        <f t="shared" si="361"/>
        <v>-1992.299219</v>
      </c>
      <c r="K357" s="266" t="str">
        <f t="shared" si="3"/>
        <v>Vanguard S&amp;P 500 UCITS</v>
      </c>
      <c r="L357" s="156">
        <f t="shared" si="4"/>
        <v>4293</v>
      </c>
      <c r="M357" s="156">
        <f t="shared" si="5"/>
        <v>-183260.93</v>
      </c>
      <c r="N357" s="155" t="str">
        <f>IF($P357&lt;&gt;"",IF(MAXIFS(Investment!$M:$M,Investment!$H:$H,LEFT($P357,30)&amp;"*"),MAXIFS(Investment!$M:$M,Investment!$H:$H,LEFT($P357,30)&amp;"*"),),)</f>
        <v/>
      </c>
      <c r="O357" s="158" t="str">
        <f>IF($P357&lt;&gt;"",IF(MAXIFS(Investment!$AH:$AH,Investment!$H:$H,LEFT($P357,30)&amp;"*"),MAXIFS(Investment!$AH:$AH,Investment!$H:$H,LEFT($P357,30)&amp;"*"),),)</f>
        <v/>
      </c>
      <c r="P357" s="141"/>
      <c r="Q357" s="156"/>
      <c r="R357" s="279"/>
    </row>
    <row r="358">
      <c r="A358" s="122">
        <v>43197.0</v>
      </c>
      <c r="B358" s="156" t="s">
        <v>343</v>
      </c>
      <c r="C358" s="130" t="s">
        <v>344</v>
      </c>
      <c r="D358" s="301" t="s">
        <v>272</v>
      </c>
      <c r="E358" s="301"/>
      <c r="F358" s="264"/>
      <c r="G358" s="128">
        <v>7.05</v>
      </c>
      <c r="H358" s="305" t="s">
        <v>1278</v>
      </c>
      <c r="I358" s="138" t="str">
        <f t="shared" ref="I358:J358" si="362">IFS(AND($B358&lt;&gt;"",$E358&lt;&gt;""),IF(INDEX(N:N,MATCH($C358,$P:$P,0),1)&lt;&gt;"",$E358*INDEX(N:N,MATCH($C358,$P:$P,0),1)+$G358,""),AND($B358&lt;&gt;"",$D358="COST",$G358&lt;0),$G358,TRUE,)</f>
        <v/>
      </c>
      <c r="J358" s="138" t="str">
        <f t="shared" si="362"/>
        <v/>
      </c>
      <c r="K358" s="266" t="str">
        <f t="shared" si="3"/>
        <v>Vanguard S&amp;P 500 UCITS</v>
      </c>
      <c r="L358" s="156">
        <f t="shared" si="4"/>
        <v>4293</v>
      </c>
      <c r="M358" s="156">
        <f t="shared" si="5"/>
        <v>-183260.93</v>
      </c>
      <c r="N358" s="155" t="str">
        <f>IF($P358&lt;&gt;"",IF(MAXIFS(Investment!$M:$M,Investment!$H:$H,LEFT($P358,30)&amp;"*"),MAXIFS(Investment!$M:$M,Investment!$H:$H,LEFT($P358,30)&amp;"*"),),)</f>
        <v/>
      </c>
      <c r="O358" s="158" t="str">
        <f>IF($P358&lt;&gt;"",IF(MAXIFS(Investment!$AH:$AH,Investment!$H:$H,LEFT($P358,30)&amp;"*"),MAXIFS(Investment!$AH:$AH,Investment!$H:$H,LEFT($P358,30)&amp;"*"),),)</f>
        <v/>
      </c>
      <c r="P358" s="141"/>
      <c r="Q358" s="156"/>
      <c r="R358" s="279"/>
    </row>
    <row r="359">
      <c r="A359" s="122">
        <v>43197.0</v>
      </c>
      <c r="B359" s="156" t="s">
        <v>364</v>
      </c>
      <c r="C359" s="130" t="s">
        <v>1256</v>
      </c>
      <c r="D359" s="301" t="s">
        <v>272</v>
      </c>
      <c r="E359" s="301"/>
      <c r="F359" s="264"/>
      <c r="G359" s="128">
        <v>-7.05</v>
      </c>
      <c r="H359" s="305" t="s">
        <v>1279</v>
      </c>
      <c r="I359" s="138" t="str">
        <f t="shared" ref="I359:J359" si="363">IFS(AND($B359&lt;&gt;"",$E359&lt;&gt;""),IF(INDEX(N:N,MATCH($C359,$P:$P,0),1)&lt;&gt;"",$E359*INDEX(N:N,MATCH($C359,$P:$P,0),1)+$G359,""),AND($B359&lt;&gt;"",$D359="COST",$G359&lt;0),$G359,TRUE,)</f>
        <v/>
      </c>
      <c r="J359" s="138" t="str">
        <f t="shared" si="363"/>
        <v/>
      </c>
      <c r="K359" s="266" t="str">
        <f t="shared" si="3"/>
        <v>Vanguard Intermediate-Term Treasury ETF</v>
      </c>
      <c r="L359" s="156">
        <f t="shared" si="4"/>
        <v>0</v>
      </c>
      <c r="M359" s="156">
        <f t="shared" si="5"/>
        <v>-1817.48</v>
      </c>
      <c r="N359" s="155" t="str">
        <f>IF($P359&lt;&gt;"",IF(MAXIFS(Investment!$M:$M,Investment!$H:$H,LEFT($P359,30)&amp;"*"),MAXIFS(Investment!$M:$M,Investment!$H:$H,LEFT($P359,30)&amp;"*"),),)</f>
        <v/>
      </c>
      <c r="O359" s="158" t="str">
        <f>IF($P359&lt;&gt;"",IF(MAXIFS(Investment!$AH:$AH,Investment!$H:$H,LEFT($P359,30)&amp;"*"),MAXIFS(Investment!$AH:$AH,Investment!$H:$H,LEFT($P359,30)&amp;"*"),),)</f>
        <v/>
      </c>
      <c r="P359" s="141"/>
      <c r="Q359" s="156"/>
      <c r="R359" s="279"/>
    </row>
    <row r="360">
      <c r="A360" s="122">
        <v>43197.0</v>
      </c>
      <c r="B360" s="124" t="s">
        <v>343</v>
      </c>
      <c r="C360" s="130" t="s">
        <v>344</v>
      </c>
      <c r="D360" s="298" t="s">
        <v>272</v>
      </c>
      <c r="E360" s="298"/>
      <c r="F360" s="264"/>
      <c r="G360" s="128">
        <v>-86.57</v>
      </c>
      <c r="H360" s="305" t="s">
        <v>1280</v>
      </c>
      <c r="I360" s="138" t="str">
        <f t="shared" ref="I360:J360" si="364">IFS(AND($B360&lt;&gt;"",$E360&lt;&gt;""),IF(INDEX(N:N,MATCH($C360,$P:$P,0),1)&lt;&gt;"",$E360*INDEX(N:N,MATCH($C360,$P:$P,0),1)+$G360,""),AND($B360&lt;&gt;"",$D360="COST",$G360&lt;0),$G360,TRUE,)</f>
        <v/>
      </c>
      <c r="J360" s="138" t="str">
        <f t="shared" si="364"/>
        <v/>
      </c>
      <c r="K360" s="266" t="str">
        <f t="shared" si="3"/>
        <v>Vanguard S&amp;P 500 UCITS</v>
      </c>
      <c r="L360" s="156">
        <f t="shared" si="4"/>
        <v>4293</v>
      </c>
      <c r="M360" s="156">
        <f t="shared" si="5"/>
        <v>-183260.93</v>
      </c>
      <c r="N360" s="155" t="str">
        <f>IF($P360&lt;&gt;"",IF(MAXIFS(Investment!$M:$M,Investment!$H:$H,LEFT($P360,30)&amp;"*"),MAXIFS(Investment!$M:$M,Investment!$H:$H,LEFT($P360,30)&amp;"*"),),)</f>
        <v/>
      </c>
      <c r="O360" s="158" t="str">
        <f>IF($P360&lt;&gt;"",IF(MAXIFS(Investment!$AH:$AH,Investment!$H:$H,LEFT($P360,30)&amp;"*"),MAXIFS(Investment!$AH:$AH,Investment!$H:$H,LEFT($P360,30)&amp;"*"),),)</f>
        <v/>
      </c>
      <c r="P360" s="141"/>
      <c r="Q360" s="156"/>
      <c r="R360" s="279"/>
    </row>
    <row r="361">
      <c r="A361" s="122">
        <v>43196.0</v>
      </c>
      <c r="B361" s="124" t="s">
        <v>364</v>
      </c>
      <c r="C361" s="130" t="s">
        <v>1256</v>
      </c>
      <c r="D361" s="298" t="s">
        <v>272</v>
      </c>
      <c r="E361" s="298"/>
      <c r="F361" s="264"/>
      <c r="G361" s="128">
        <v>43.62</v>
      </c>
      <c r="H361" s="305" t="s">
        <v>1281</v>
      </c>
      <c r="I361" s="138" t="str">
        <f t="shared" ref="I361:J361" si="365">IFS(AND($B361&lt;&gt;"",$E361&lt;&gt;""),IF(INDEX(N:N,MATCH($C361,$P:$P,0),1)&lt;&gt;"",$E361*INDEX(N:N,MATCH($C361,$P:$P,0),1)+$G361,""),AND($B361&lt;&gt;"",$D361="COST",$G361&lt;0),$G361,TRUE,)</f>
        <v/>
      </c>
      <c r="J361" s="138" t="str">
        <f t="shared" si="365"/>
        <v/>
      </c>
      <c r="K361" s="266" t="str">
        <f t="shared" si="3"/>
        <v>Vanguard Intermediate-Term Treasury ETF</v>
      </c>
      <c r="L361" s="156">
        <f t="shared" si="4"/>
        <v>0</v>
      </c>
      <c r="M361" s="156">
        <f t="shared" si="5"/>
        <v>-1817.48</v>
      </c>
      <c r="N361" s="155" t="str">
        <f>IF($P361&lt;&gt;"",IF(MAXIFS(Investment!$M:$M,Investment!$H:$H,LEFT($P361,30)&amp;"*"),MAXIFS(Investment!$M:$M,Investment!$H:$H,LEFT($P361,30)&amp;"*"),),)</f>
        <v/>
      </c>
      <c r="O361" s="158" t="str">
        <f>IF($P361&lt;&gt;"",IF(MAXIFS(Investment!$AH:$AH,Investment!$H:$H,LEFT($P361,30)&amp;"*"),MAXIFS(Investment!$AH:$AH,Investment!$H:$H,LEFT($P361,30)&amp;"*"),),)</f>
        <v/>
      </c>
      <c r="P361" s="141"/>
      <c r="Q361" s="156"/>
      <c r="R361" s="279"/>
    </row>
    <row r="362">
      <c r="A362" s="122">
        <v>43196.0</v>
      </c>
      <c r="B362" s="124" t="s">
        <v>343</v>
      </c>
      <c r="C362" s="130" t="s">
        <v>344</v>
      </c>
      <c r="D362" s="298" t="s">
        <v>272</v>
      </c>
      <c r="E362" s="298"/>
      <c r="F362" s="264"/>
      <c r="G362" s="128">
        <v>420.27</v>
      </c>
      <c r="H362" s="305" t="s">
        <v>1282</v>
      </c>
      <c r="I362" s="138" t="str">
        <f t="shared" ref="I362:J362" si="366">IFS(AND($B362&lt;&gt;"",$E362&lt;&gt;""),IF(INDEX(N:N,MATCH($C362,$P:$P,0),1)&lt;&gt;"",$E362*INDEX(N:N,MATCH($C362,$P:$P,0),1)+$G362,""),AND($B362&lt;&gt;"",$D362="COST",$G362&lt;0),$G362,TRUE,)</f>
        <v/>
      </c>
      <c r="J362" s="138" t="str">
        <f t="shared" si="366"/>
        <v/>
      </c>
      <c r="K362" s="266" t="str">
        <f t="shared" si="3"/>
        <v>Vanguard S&amp;P 500 UCITS</v>
      </c>
      <c r="L362" s="156">
        <f t="shared" si="4"/>
        <v>4293</v>
      </c>
      <c r="M362" s="156">
        <f t="shared" si="5"/>
        <v>-183260.93</v>
      </c>
      <c r="N362" s="155" t="str">
        <f>IF($P362&lt;&gt;"",IF(MAXIFS(Investment!$M:$M,Investment!$H:$H,LEFT($P362,30)&amp;"*"),MAXIFS(Investment!$M:$M,Investment!$H:$H,LEFT($P362,30)&amp;"*"),),)</f>
        <v/>
      </c>
      <c r="O362" s="158" t="str">
        <f>IF($P362&lt;&gt;"",IF(MAXIFS(Investment!$AH:$AH,Investment!$H:$H,LEFT($P362,30)&amp;"*"),MAXIFS(Investment!$AH:$AH,Investment!$H:$H,LEFT($P362,30)&amp;"*"),),)</f>
        <v/>
      </c>
      <c r="P362" s="141"/>
      <c r="Q362" s="156"/>
      <c r="R362" s="279"/>
    </row>
    <row r="363">
      <c r="A363" s="122">
        <v>43195.0</v>
      </c>
      <c r="B363" s="124"/>
      <c r="C363" s="130"/>
      <c r="D363" s="298" t="s">
        <v>378</v>
      </c>
      <c r="E363" s="298"/>
      <c r="F363" s="264"/>
      <c r="G363" s="128">
        <v>-0.01</v>
      </c>
      <c r="H363" s="305" t="s">
        <v>1283</v>
      </c>
      <c r="I363" s="138" t="str">
        <f t="shared" ref="I363:J363" si="367">IFS(AND($B363&lt;&gt;"",$E363&lt;&gt;""),IF(INDEX(N:N,MATCH($C363,$P:$P,0),1)&lt;&gt;"",$E363*INDEX(N:N,MATCH($C363,$P:$P,0),1)+$G363,""),AND($B363&lt;&gt;"",$D363="COST",$G363&lt;0),$G363,TRUE,)</f>
        <v/>
      </c>
      <c r="J363" s="138" t="str">
        <f t="shared" si="367"/>
        <v/>
      </c>
      <c r="K363" s="266" t="str">
        <f t="shared" si="3"/>
        <v/>
      </c>
      <c r="L363" s="156" t="str">
        <f t="shared" si="4"/>
        <v/>
      </c>
      <c r="M363" s="156" t="str">
        <f t="shared" si="5"/>
        <v/>
      </c>
      <c r="N363" s="155" t="str">
        <f>IF($P363&lt;&gt;"",IF(MAXIFS(Investment!$M:$M,Investment!$H:$H,LEFT($P363,30)&amp;"*"),MAXIFS(Investment!$M:$M,Investment!$H:$H,LEFT($P363,30)&amp;"*"),),)</f>
        <v/>
      </c>
      <c r="O363" s="158" t="str">
        <f>IF($P363&lt;&gt;"",IF(MAXIFS(Investment!$AH:$AH,Investment!$H:$H,LEFT($P363,30)&amp;"*"),MAXIFS(Investment!$AH:$AH,Investment!$H:$H,LEFT($P363,30)&amp;"*"),),)</f>
        <v/>
      </c>
      <c r="P363" s="141"/>
      <c r="Q363" s="156"/>
      <c r="R363" s="279"/>
    </row>
    <row r="364">
      <c r="A364" s="122">
        <v>43195.0</v>
      </c>
      <c r="B364" s="124"/>
      <c r="C364" s="130"/>
      <c r="D364" s="298" t="s">
        <v>378</v>
      </c>
      <c r="E364" s="298"/>
      <c r="F364" s="264"/>
      <c r="G364" s="128">
        <v>-155.56</v>
      </c>
      <c r="H364" s="305" t="s">
        <v>1284</v>
      </c>
      <c r="I364" s="138" t="str">
        <f t="shared" ref="I364:J364" si="368">IFS(AND($B364&lt;&gt;"",$E364&lt;&gt;""),IF(INDEX(N:N,MATCH($C364,$P:$P,0),1)&lt;&gt;"",$E364*INDEX(N:N,MATCH($C364,$P:$P,0),1)+$G364,""),AND($B364&lt;&gt;"",$D364="COST",$G364&lt;0),$G364,TRUE,)</f>
        <v/>
      </c>
      <c r="J364" s="138" t="str">
        <f t="shared" si="368"/>
        <v/>
      </c>
      <c r="K364" s="266" t="str">
        <f t="shared" si="3"/>
        <v/>
      </c>
      <c r="L364" s="156" t="str">
        <f t="shared" si="4"/>
        <v/>
      </c>
      <c r="M364" s="156" t="str">
        <f t="shared" si="5"/>
        <v/>
      </c>
      <c r="N364" s="155" t="str">
        <f>IF($P364&lt;&gt;"",IF(MAXIFS(Investment!$M:$M,Investment!$H:$H,LEFT($P364,30)&amp;"*"),MAXIFS(Investment!$M:$M,Investment!$H:$H,LEFT($P364,30)&amp;"*"),),)</f>
        <v/>
      </c>
      <c r="O364" s="158" t="str">
        <f>IF($P364&lt;&gt;"",IF(MAXIFS(Investment!$AH:$AH,Investment!$H:$H,LEFT($P364,30)&amp;"*"),MAXIFS(Investment!$AH:$AH,Investment!$H:$H,LEFT($P364,30)&amp;"*"),),)</f>
        <v/>
      </c>
      <c r="P364" s="141"/>
      <c r="Q364" s="156"/>
      <c r="R364" s="279"/>
    </row>
    <row r="365">
      <c r="A365" s="122">
        <v>43194.0</v>
      </c>
      <c r="B365" s="124"/>
      <c r="C365" s="130"/>
      <c r="D365" s="298" t="s">
        <v>378</v>
      </c>
      <c r="E365" s="298"/>
      <c r="F365" s="264"/>
      <c r="G365" s="128">
        <v>0.03</v>
      </c>
      <c r="H365" s="305" t="s">
        <v>1285</v>
      </c>
      <c r="I365" s="138" t="str">
        <f t="shared" ref="I365:J365" si="369">IFS(AND($B365&lt;&gt;"",$E365&lt;&gt;""),IF(INDEX(N:N,MATCH($C365,$P:$P,0),1)&lt;&gt;"",$E365*INDEX(N:N,MATCH($C365,$P:$P,0),1)+$G365,""),AND($B365&lt;&gt;"",$D365="COST",$G365&lt;0),$G365,TRUE,)</f>
        <v/>
      </c>
      <c r="J365" s="138" t="str">
        <f t="shared" si="369"/>
        <v/>
      </c>
      <c r="K365" s="266" t="str">
        <f t="shared" si="3"/>
        <v/>
      </c>
      <c r="L365" s="156" t="str">
        <f t="shared" si="4"/>
        <v/>
      </c>
      <c r="M365" s="156" t="str">
        <f t="shared" si="5"/>
        <v/>
      </c>
      <c r="N365" s="155" t="str">
        <f>IF($P365&lt;&gt;"",IF(MAXIFS(Investment!$M:$M,Investment!$H:$H,LEFT($P365,30)&amp;"*"),MAXIFS(Investment!$M:$M,Investment!$H:$H,LEFT($P365,30)&amp;"*"),),)</f>
        <v/>
      </c>
      <c r="O365" s="158" t="str">
        <f>IF($P365&lt;&gt;"",IF(MAXIFS(Investment!$AH:$AH,Investment!$H:$H,LEFT($P365,30)&amp;"*"),MAXIFS(Investment!$AH:$AH,Investment!$H:$H,LEFT($P365,30)&amp;"*"),),)</f>
        <v/>
      </c>
      <c r="P365" s="141"/>
      <c r="Q365" s="156"/>
      <c r="R365" s="279"/>
    </row>
    <row r="366">
      <c r="A366" s="122">
        <v>43182.0</v>
      </c>
      <c r="B366" s="124" t="s">
        <v>268</v>
      </c>
      <c r="C366" s="130" t="s">
        <v>1196</v>
      </c>
      <c r="D366" s="298" t="s">
        <v>272</v>
      </c>
      <c r="E366" s="298"/>
      <c r="F366" s="264"/>
      <c r="G366" s="128">
        <v>-89.96</v>
      </c>
      <c r="H366" s="305" t="s">
        <v>1286</v>
      </c>
      <c r="I366" s="138" t="str">
        <f t="shared" ref="I366:J366" si="370">IFS(AND($B366&lt;&gt;"",$E366&lt;&gt;""),IF(INDEX(N:N,MATCH($C366,$P:$P,0),1)&lt;&gt;"",$E366*INDEX(N:N,MATCH($C366,$P:$P,0),1)+$G366,""),AND($B366&lt;&gt;"",$D366="COST",$G366&lt;0),$G366,TRUE,)</f>
        <v/>
      </c>
      <c r="J366" s="138" t="str">
        <f t="shared" si="370"/>
        <v/>
      </c>
      <c r="K366" s="266" t="str">
        <f t="shared" si="3"/>
        <v>Vanguard Extended Duration Treasury ETF</v>
      </c>
      <c r="L366" s="156">
        <f t="shared" si="4"/>
        <v>0</v>
      </c>
      <c r="M366" s="156">
        <f t="shared" si="5"/>
        <v>-4941.36</v>
      </c>
      <c r="N366" s="155" t="str">
        <f>IF($P366&lt;&gt;"",IF(MAXIFS(Investment!$M:$M,Investment!$H:$H,LEFT($P366,30)&amp;"*"),MAXIFS(Investment!$M:$M,Investment!$H:$H,LEFT($P366,30)&amp;"*"),),)</f>
        <v/>
      </c>
      <c r="O366" s="158" t="str">
        <f>IF($P366&lt;&gt;"",IF(MAXIFS(Investment!$AH:$AH,Investment!$H:$H,LEFT($P366,30)&amp;"*"),MAXIFS(Investment!$AH:$AH,Investment!$H:$H,LEFT($P366,30)&amp;"*"),),)</f>
        <v/>
      </c>
      <c r="P366" s="141"/>
      <c r="Q366" s="156"/>
      <c r="R366" s="279"/>
    </row>
    <row r="367">
      <c r="A367" s="122">
        <v>43181.0</v>
      </c>
      <c r="B367" s="124" t="s">
        <v>268</v>
      </c>
      <c r="C367" s="130" t="s">
        <v>1196</v>
      </c>
      <c r="D367" s="298" t="s">
        <v>272</v>
      </c>
      <c r="E367" s="298"/>
      <c r="F367" s="264"/>
      <c r="G367" s="128">
        <v>476.2</v>
      </c>
      <c r="H367" s="305" t="s">
        <v>1287</v>
      </c>
      <c r="I367" s="138" t="str">
        <f t="shared" ref="I367:J367" si="371">IFS(AND($B367&lt;&gt;"",$E367&lt;&gt;""),IF(INDEX(N:N,MATCH($C367,$P:$P,0),1)&lt;&gt;"",$E367*INDEX(N:N,MATCH($C367,$P:$P,0),1)+$G367,""),AND($B367&lt;&gt;"",$D367="COST",$G367&lt;0),$G367,TRUE,)</f>
        <v/>
      </c>
      <c r="J367" s="138" t="str">
        <f t="shared" si="371"/>
        <v/>
      </c>
      <c r="K367" s="266" t="str">
        <f t="shared" si="3"/>
        <v>Vanguard Extended Duration Treasury ETF</v>
      </c>
      <c r="L367" s="156">
        <f t="shared" si="4"/>
        <v>0</v>
      </c>
      <c r="M367" s="156">
        <f t="shared" si="5"/>
        <v>-4941.36</v>
      </c>
      <c r="N367" s="155" t="str">
        <f>IF($P367&lt;&gt;"",IF(MAXIFS(Investment!$M:$M,Investment!$H:$H,LEFT($P367,30)&amp;"*"),MAXIFS(Investment!$M:$M,Investment!$H:$H,LEFT($P367,30)&amp;"*"),),)</f>
        <v/>
      </c>
      <c r="O367" s="158" t="str">
        <f>IF($P367&lt;&gt;"",IF(MAXIFS(Investment!$AH:$AH,Investment!$H:$H,LEFT($P367,30)&amp;"*"),MAXIFS(Investment!$AH:$AH,Investment!$H:$H,LEFT($P367,30)&amp;"*"),),)</f>
        <v/>
      </c>
      <c r="P367" s="141"/>
      <c r="Q367" s="156"/>
      <c r="R367" s="279"/>
    </row>
    <row r="368">
      <c r="A368" s="122">
        <v>43170.0</v>
      </c>
      <c r="B368" s="124" t="s">
        <v>364</v>
      </c>
      <c r="C368" s="130" t="s">
        <v>1256</v>
      </c>
      <c r="D368" s="298" t="s">
        <v>272</v>
      </c>
      <c r="E368" s="298"/>
      <c r="F368" s="264"/>
      <c r="G368" s="128">
        <v>-7.17</v>
      </c>
      <c r="H368" s="305" t="s">
        <v>1288</v>
      </c>
      <c r="I368" s="138" t="str">
        <f t="shared" ref="I368:J368" si="372">IFS(AND($B368&lt;&gt;"",$E368&lt;&gt;""),IF(INDEX(N:N,MATCH($C368,$P:$P,0),1)&lt;&gt;"",$E368*INDEX(N:N,MATCH($C368,$P:$P,0),1)+$G368,""),AND($B368&lt;&gt;"",$D368="COST",$G368&lt;0),$G368,TRUE,)</f>
        <v/>
      </c>
      <c r="J368" s="138" t="str">
        <f t="shared" si="372"/>
        <v/>
      </c>
      <c r="K368" s="266" t="str">
        <f t="shared" si="3"/>
        <v>Vanguard Intermediate-Term Treasury ETF</v>
      </c>
      <c r="L368" s="156">
        <f t="shared" si="4"/>
        <v>0</v>
      </c>
      <c r="M368" s="156">
        <f t="shared" si="5"/>
        <v>-1817.48</v>
      </c>
      <c r="N368" s="155" t="str">
        <f>IF($P368&lt;&gt;"",IF(MAXIFS(Investment!$M:$M,Investment!$H:$H,LEFT($P368,30)&amp;"*"),MAXIFS(Investment!$M:$M,Investment!$H:$H,LEFT($P368,30)&amp;"*"),),)</f>
        <v/>
      </c>
      <c r="O368" s="158" t="str">
        <f>IF($P368&lt;&gt;"",IF(MAXIFS(Investment!$AH:$AH,Investment!$H:$H,LEFT($P368,30)&amp;"*"),MAXIFS(Investment!$AH:$AH,Investment!$H:$H,LEFT($P368,30)&amp;"*"),),)</f>
        <v/>
      </c>
      <c r="P368" s="141"/>
      <c r="Q368" s="156"/>
      <c r="R368" s="279"/>
    </row>
    <row r="369">
      <c r="A369" s="122">
        <v>43167.0</v>
      </c>
      <c r="B369" s="124" t="s">
        <v>364</v>
      </c>
      <c r="C369" s="130" t="s">
        <v>1256</v>
      </c>
      <c r="D369" s="298" t="s">
        <v>272</v>
      </c>
      <c r="E369" s="298"/>
      <c r="F369" s="264"/>
      <c r="G369" s="128">
        <v>38.09</v>
      </c>
      <c r="H369" s="305" t="s">
        <v>1289</v>
      </c>
      <c r="I369" s="138" t="str">
        <f t="shared" ref="I369:J369" si="373">IFS(AND($B369&lt;&gt;"",$E369&lt;&gt;""),IF(INDEX(N:N,MATCH($C369,$P:$P,0),1)&lt;&gt;"",$E369*INDEX(N:N,MATCH($C369,$P:$P,0),1)+$G369,""),AND($B369&lt;&gt;"",$D369="COST",$G369&lt;0),$G369,TRUE,)</f>
        <v/>
      </c>
      <c r="J369" s="138" t="str">
        <f t="shared" si="373"/>
        <v/>
      </c>
      <c r="K369" s="266" t="str">
        <f t="shared" si="3"/>
        <v>Vanguard Intermediate-Term Treasury ETF</v>
      </c>
      <c r="L369" s="156">
        <f t="shared" si="4"/>
        <v>0</v>
      </c>
      <c r="M369" s="156">
        <f t="shared" si="5"/>
        <v>-1817.48</v>
      </c>
      <c r="N369" s="155" t="str">
        <f>IF($P369&lt;&gt;"",IF(MAXIFS(Investment!$M:$M,Investment!$H:$H,LEFT($P369,30)&amp;"*"),MAXIFS(Investment!$M:$M,Investment!$H:$H,LEFT($P369,30)&amp;"*"),),)</f>
        <v/>
      </c>
      <c r="O369" s="158" t="str">
        <f>IF($P369&lt;&gt;"",IF(MAXIFS(Investment!$AH:$AH,Investment!$H:$H,LEFT($P369,30)&amp;"*"),MAXIFS(Investment!$AH:$AH,Investment!$H:$H,LEFT($P369,30)&amp;"*"),),)</f>
        <v/>
      </c>
      <c r="P369" s="141"/>
      <c r="Q369" s="156"/>
      <c r="R369" s="279"/>
    </row>
    <row r="370">
      <c r="A370" s="122">
        <v>43161.0</v>
      </c>
      <c r="B370" s="124"/>
      <c r="C370" s="130"/>
      <c r="D370" s="298" t="s">
        <v>378</v>
      </c>
      <c r="E370" s="298"/>
      <c r="F370" s="264"/>
      <c r="G370" s="128">
        <v>-166.36</v>
      </c>
      <c r="H370" s="305" t="s">
        <v>1290</v>
      </c>
      <c r="I370" s="138" t="str">
        <f t="shared" ref="I370:J370" si="374">IFS(AND($B370&lt;&gt;"",$E370&lt;&gt;""),IF(INDEX(N:N,MATCH($C370,$P:$P,0),1)&lt;&gt;"",$E370*INDEX(N:N,MATCH($C370,$P:$P,0),1)+$G370,""),AND($B370&lt;&gt;"",$D370="COST",$G370&lt;0),$G370,TRUE,)</f>
        <v/>
      </c>
      <c r="J370" s="138" t="str">
        <f t="shared" si="374"/>
        <v/>
      </c>
      <c r="K370" s="266" t="str">
        <f t="shared" si="3"/>
        <v/>
      </c>
      <c r="L370" s="156" t="str">
        <f t="shared" si="4"/>
        <v/>
      </c>
      <c r="M370" s="156" t="str">
        <f t="shared" si="5"/>
        <v/>
      </c>
      <c r="N370" s="155" t="str">
        <f>IF($P370&lt;&gt;"",IF(MAXIFS(Investment!$M:$M,Investment!$H:$H,LEFT($P370,30)&amp;"*"),MAXIFS(Investment!$M:$M,Investment!$H:$H,LEFT($P370,30)&amp;"*"),),)</f>
        <v/>
      </c>
      <c r="O370" s="158" t="str">
        <f>IF($P370&lt;&gt;"",IF(MAXIFS(Investment!$AH:$AH,Investment!$H:$H,LEFT($P370,30)&amp;"*"),MAXIFS(Investment!$AH:$AH,Investment!$H:$H,LEFT($P370,30)&amp;"*"),),)</f>
        <v/>
      </c>
      <c r="P370" s="141"/>
      <c r="Q370" s="156"/>
      <c r="R370" s="279"/>
    </row>
    <row r="371">
      <c r="A371" s="122">
        <v>43143.0</v>
      </c>
      <c r="B371" s="124" t="s">
        <v>343</v>
      </c>
      <c r="C371" s="130" t="s">
        <v>344</v>
      </c>
      <c r="D371" s="298" t="s">
        <v>319</v>
      </c>
      <c r="E371" s="298">
        <v>-30.0</v>
      </c>
      <c r="F371" s="264">
        <v>40.931</v>
      </c>
      <c r="G371" s="128">
        <v>1227.93</v>
      </c>
      <c r="H371" s="305" t="s">
        <v>1291</v>
      </c>
      <c r="I371" s="138">
        <f t="shared" ref="I371:J371" si="375">IFS(AND($B371&lt;&gt;"",$E371&lt;&gt;""),IF(INDEX(N:N,MATCH($C371,$P:$P,0),1)&lt;&gt;"",$E371*INDEX(N:N,MATCH($C371,$P:$P,0),1)+$G371,""),AND($B371&lt;&gt;"",$D371="COST",$G371&lt;0),$G371,TRUE,)</f>
        <v>-233.1</v>
      </c>
      <c r="J371" s="138">
        <f t="shared" si="375"/>
        <v>-164.3465625</v>
      </c>
      <c r="K371" s="266" t="str">
        <f t="shared" si="3"/>
        <v>Vanguard S&amp;P 500 UCITS</v>
      </c>
      <c r="L371" s="156">
        <f t="shared" si="4"/>
        <v>4293</v>
      </c>
      <c r="M371" s="156">
        <f t="shared" si="5"/>
        <v>-183260.93</v>
      </c>
      <c r="N371" s="155" t="str">
        <f>IF($P371&lt;&gt;"",IF(MAXIFS(Investment!$M:$M,Investment!$H:$H,LEFT($P371,30)&amp;"*"),MAXIFS(Investment!$M:$M,Investment!$H:$H,LEFT($P371,30)&amp;"*"),),)</f>
        <v/>
      </c>
      <c r="O371" s="158" t="str">
        <f>IF($P371&lt;&gt;"",IF(MAXIFS(Investment!$AH:$AH,Investment!$H:$H,LEFT($P371,30)&amp;"*"),MAXIFS(Investment!$AH:$AH,Investment!$H:$H,LEFT($P371,30)&amp;"*"),),)</f>
        <v/>
      </c>
      <c r="P371" s="141"/>
      <c r="Q371" s="156"/>
      <c r="R371" s="279"/>
    </row>
    <row r="372">
      <c r="A372" s="122">
        <v>43143.0</v>
      </c>
      <c r="B372" s="124" t="s">
        <v>343</v>
      </c>
      <c r="C372" s="130" t="s">
        <v>344</v>
      </c>
      <c r="D372" s="298" t="s">
        <v>319</v>
      </c>
      <c r="E372" s="298">
        <v>-60.0</v>
      </c>
      <c r="F372" s="264">
        <v>40.961</v>
      </c>
      <c r="G372" s="128">
        <v>2457.66</v>
      </c>
      <c r="H372" s="305" t="s">
        <v>1292</v>
      </c>
      <c r="I372" s="138">
        <f t="shared" ref="I372:J372" si="376">IFS(AND($B372&lt;&gt;"",$E372&lt;&gt;""),IF(INDEX(N:N,MATCH($C372,$P:$P,0),1)&lt;&gt;"",$E372*INDEX(N:N,MATCH($C372,$P:$P,0),1)+$G372,""),AND($B372&lt;&gt;"",$D372="COST",$G372&lt;0),$G372,TRUE,)</f>
        <v>-464.4</v>
      </c>
      <c r="J372" s="138">
        <f t="shared" si="376"/>
        <v>-326.893125</v>
      </c>
      <c r="K372" s="266" t="str">
        <f t="shared" si="3"/>
        <v>Vanguard S&amp;P 500 UCITS</v>
      </c>
      <c r="L372" s="156">
        <f t="shared" si="4"/>
        <v>4293</v>
      </c>
      <c r="M372" s="156">
        <f t="shared" si="5"/>
        <v>-183260.93</v>
      </c>
      <c r="N372" s="155" t="str">
        <f>IF($P372&lt;&gt;"",IF(MAXIFS(Investment!$M:$M,Investment!$H:$H,LEFT($P372,30)&amp;"*"),MAXIFS(Investment!$M:$M,Investment!$H:$H,LEFT($P372,30)&amp;"*"),),)</f>
        <v/>
      </c>
      <c r="O372" s="158" t="str">
        <f>IF($P372&lt;&gt;"",IF(MAXIFS(Investment!$AH:$AH,Investment!$H:$H,LEFT($P372,30)&amp;"*"),MAXIFS(Investment!$AH:$AH,Investment!$H:$H,LEFT($P372,30)&amp;"*"),),)</f>
        <v/>
      </c>
      <c r="P372" s="141"/>
      <c r="Q372" s="156"/>
      <c r="R372" s="279"/>
    </row>
    <row r="373">
      <c r="A373" s="122">
        <v>43143.0</v>
      </c>
      <c r="B373" s="124" t="s">
        <v>343</v>
      </c>
      <c r="C373" s="130" t="s">
        <v>344</v>
      </c>
      <c r="D373" s="298" t="s">
        <v>319</v>
      </c>
      <c r="E373" s="298">
        <v>-30.0</v>
      </c>
      <c r="F373" s="264">
        <v>40.966</v>
      </c>
      <c r="G373" s="128">
        <v>1228.98</v>
      </c>
      <c r="H373" s="305" t="s">
        <v>1293</v>
      </c>
      <c r="I373" s="138">
        <f t="shared" ref="I373:J373" si="377">IFS(AND($B373&lt;&gt;"",$E373&lt;&gt;""),IF(INDEX(N:N,MATCH($C373,$P:$P,0),1)&lt;&gt;"",$E373*INDEX(N:N,MATCH($C373,$P:$P,0),1)+$G373,""),AND($B373&lt;&gt;"",$D373="COST",$G373&lt;0),$G373,TRUE,)</f>
        <v>-232.05</v>
      </c>
      <c r="J373" s="138">
        <f t="shared" si="377"/>
        <v>-163.2965625</v>
      </c>
      <c r="K373" s="266" t="str">
        <f t="shared" si="3"/>
        <v>Vanguard S&amp;P 500 UCITS</v>
      </c>
      <c r="L373" s="156">
        <f t="shared" si="4"/>
        <v>4293</v>
      </c>
      <c r="M373" s="156">
        <f t="shared" si="5"/>
        <v>-183260.93</v>
      </c>
      <c r="N373" s="155" t="str">
        <f>IF($P373&lt;&gt;"",IF(MAXIFS(Investment!$M:$M,Investment!$H:$H,LEFT($P373,30)&amp;"*"),MAXIFS(Investment!$M:$M,Investment!$H:$H,LEFT($P373,30)&amp;"*"),),)</f>
        <v/>
      </c>
      <c r="O373" s="158" t="str">
        <f>IF($P373&lt;&gt;"",IF(MAXIFS(Investment!$AH:$AH,Investment!$H:$H,LEFT($P373,30)&amp;"*"),MAXIFS(Investment!$AH:$AH,Investment!$H:$H,LEFT($P373,30)&amp;"*"),),)</f>
        <v/>
      </c>
      <c r="P373" s="141"/>
      <c r="Q373" s="156"/>
      <c r="R373" s="279"/>
    </row>
    <row r="374">
      <c r="A374" s="122">
        <v>43143.0</v>
      </c>
      <c r="B374" s="124" t="s">
        <v>343</v>
      </c>
      <c r="C374" s="130" t="s">
        <v>344</v>
      </c>
      <c r="D374" s="298" t="s">
        <v>319</v>
      </c>
      <c r="E374" s="298">
        <v>-30.0</v>
      </c>
      <c r="F374" s="264">
        <v>40.986</v>
      </c>
      <c r="G374" s="128">
        <v>1229.58</v>
      </c>
      <c r="H374" s="305" t="s">
        <v>1294</v>
      </c>
      <c r="I374" s="138">
        <f t="shared" ref="I374:J374" si="378">IFS(AND($B374&lt;&gt;"",$E374&lt;&gt;""),IF(INDEX(N:N,MATCH($C374,$P:$P,0),1)&lt;&gt;"",$E374*INDEX(N:N,MATCH($C374,$P:$P,0),1)+$G374,""),AND($B374&lt;&gt;"",$D374="COST",$G374&lt;0),$G374,TRUE,)</f>
        <v>-231.45</v>
      </c>
      <c r="J374" s="138">
        <f t="shared" si="378"/>
        <v>-162.6965625</v>
      </c>
      <c r="K374" s="266" t="str">
        <f t="shared" si="3"/>
        <v>Vanguard S&amp;P 500 UCITS</v>
      </c>
      <c r="L374" s="156">
        <f t="shared" si="4"/>
        <v>4293</v>
      </c>
      <c r="M374" s="156">
        <f t="shared" si="5"/>
        <v>-183260.93</v>
      </c>
      <c r="N374" s="155" t="str">
        <f>IF($P374&lt;&gt;"",IF(MAXIFS(Investment!$M:$M,Investment!$H:$H,LEFT($P374,30)&amp;"*"),MAXIFS(Investment!$M:$M,Investment!$H:$H,LEFT($P374,30)&amp;"*"),),)</f>
        <v/>
      </c>
      <c r="O374" s="158" t="str">
        <f>IF($P374&lt;&gt;"",IF(MAXIFS(Investment!$AH:$AH,Investment!$H:$H,LEFT($P374,30)&amp;"*"),MAXIFS(Investment!$AH:$AH,Investment!$H:$H,LEFT($P374,30)&amp;"*"),),)</f>
        <v/>
      </c>
      <c r="P374" s="141"/>
      <c r="Q374" s="156"/>
      <c r="R374" s="279"/>
    </row>
    <row r="375">
      <c r="A375" s="122">
        <v>43139.0</v>
      </c>
      <c r="B375" s="124" t="s">
        <v>364</v>
      </c>
      <c r="C375" s="130" t="s">
        <v>1256</v>
      </c>
      <c r="D375" s="298" t="s">
        <v>272</v>
      </c>
      <c r="E375" s="298"/>
      <c r="F375" s="264"/>
      <c r="G375" s="128">
        <v>-7.02</v>
      </c>
      <c r="H375" s="305" t="s">
        <v>1295</v>
      </c>
      <c r="I375" s="138" t="str">
        <f t="shared" ref="I375:J375" si="379">IFS(AND($B375&lt;&gt;"",$E375&lt;&gt;""),IF(INDEX(N:N,MATCH($C375,$P:$P,0),1)&lt;&gt;"",$E375*INDEX(N:N,MATCH($C375,$P:$P,0),1)+$G375,""),AND($B375&lt;&gt;"",$D375="COST",$G375&lt;0),$G375,TRUE,)</f>
        <v/>
      </c>
      <c r="J375" s="138" t="str">
        <f t="shared" si="379"/>
        <v/>
      </c>
      <c r="K375" s="266" t="str">
        <f t="shared" si="3"/>
        <v>Vanguard Intermediate-Term Treasury ETF</v>
      </c>
      <c r="L375" s="156">
        <f t="shared" si="4"/>
        <v>0</v>
      </c>
      <c r="M375" s="156">
        <f t="shared" si="5"/>
        <v>-1817.48</v>
      </c>
      <c r="N375" s="155" t="str">
        <f>IF($P375&lt;&gt;"",IF(MAXIFS(Investment!$M:$M,Investment!$H:$H,LEFT($P375,30)&amp;"*"),MAXIFS(Investment!$M:$M,Investment!$H:$H,LEFT($P375,30)&amp;"*"),),)</f>
        <v/>
      </c>
      <c r="O375" s="158" t="str">
        <f>IF($P375&lt;&gt;"",IF(MAXIFS(Investment!$AH:$AH,Investment!$H:$H,LEFT($P375,30)&amp;"*"),MAXIFS(Investment!$AH:$AH,Investment!$H:$H,LEFT($P375,30)&amp;"*"),),)</f>
        <v/>
      </c>
      <c r="P375" s="141"/>
      <c r="Q375" s="156"/>
      <c r="R375" s="279"/>
    </row>
    <row r="376">
      <c r="A376" s="122">
        <v>43138.0</v>
      </c>
      <c r="B376" s="124" t="s">
        <v>364</v>
      </c>
      <c r="C376" s="130" t="s">
        <v>1256</v>
      </c>
      <c r="D376" s="298" t="s">
        <v>272</v>
      </c>
      <c r="E376" s="298"/>
      <c r="F376" s="264"/>
      <c r="G376" s="128">
        <v>37.88</v>
      </c>
      <c r="H376" s="305" t="s">
        <v>1296</v>
      </c>
      <c r="I376" s="138" t="str">
        <f t="shared" ref="I376:J376" si="380">IFS(AND($B376&lt;&gt;"",$E376&lt;&gt;""),IF(INDEX(N:N,MATCH($C376,$P:$P,0),1)&lt;&gt;"",$E376*INDEX(N:N,MATCH($C376,$P:$P,0),1)+$G376,""),AND($B376&lt;&gt;"",$D376="COST",$G376&lt;0),$G376,TRUE,)</f>
        <v/>
      </c>
      <c r="J376" s="138" t="str">
        <f t="shared" si="380"/>
        <v/>
      </c>
      <c r="K376" s="266" t="str">
        <f t="shared" si="3"/>
        <v>Vanguard Intermediate-Term Treasury ETF</v>
      </c>
      <c r="L376" s="156">
        <f t="shared" si="4"/>
        <v>0</v>
      </c>
      <c r="M376" s="156">
        <f t="shared" si="5"/>
        <v>-1817.48</v>
      </c>
      <c r="N376" s="155" t="str">
        <f>IF($P376&lt;&gt;"",IF(MAXIFS(Investment!$M:$M,Investment!$H:$H,LEFT($P376,30)&amp;"*"),MAXIFS(Investment!$M:$M,Investment!$H:$H,LEFT($P376,30)&amp;"*"),),)</f>
        <v/>
      </c>
      <c r="O376" s="158" t="str">
        <f>IF($P376&lt;&gt;"",IF(MAXIFS(Investment!$AH:$AH,Investment!$H:$H,LEFT($P376,30)&amp;"*"),MAXIFS(Investment!$AH:$AH,Investment!$H:$H,LEFT($P376,30)&amp;"*"),),)</f>
        <v/>
      </c>
      <c r="P376" s="141"/>
      <c r="Q376" s="156"/>
      <c r="R376" s="279"/>
    </row>
    <row r="377">
      <c r="A377" s="122">
        <v>43137.0</v>
      </c>
      <c r="B377" s="124"/>
      <c r="C377" s="130"/>
      <c r="D377" s="298" t="s">
        <v>378</v>
      </c>
      <c r="E377" s="298"/>
      <c r="F377" s="264"/>
      <c r="G377" s="128">
        <v>-0.01</v>
      </c>
      <c r="H377" s="305" t="s">
        <v>1283</v>
      </c>
      <c r="I377" s="138" t="str">
        <f t="shared" ref="I377:J377" si="381">IFS(AND($B377&lt;&gt;"",$E377&lt;&gt;""),IF(INDEX(N:N,MATCH($C377,$P:$P,0),1)&lt;&gt;"",$E377*INDEX(N:N,MATCH($C377,$P:$P,0),1)+$G377,""),AND($B377&lt;&gt;"",$D377="COST",$G377&lt;0),$G377,TRUE,)</f>
        <v/>
      </c>
      <c r="J377" s="138" t="str">
        <f t="shared" si="381"/>
        <v/>
      </c>
      <c r="K377" s="266" t="str">
        <f t="shared" si="3"/>
        <v/>
      </c>
      <c r="L377" s="156" t="str">
        <f t="shared" si="4"/>
        <v/>
      </c>
      <c r="M377" s="156" t="str">
        <f t="shared" si="5"/>
        <v/>
      </c>
      <c r="N377" s="155" t="str">
        <f>IF($P377&lt;&gt;"",IF(MAXIFS(Investment!$M:$M,Investment!$H:$H,LEFT($P377,30)&amp;"*"),MAXIFS(Investment!$M:$M,Investment!$H:$H,LEFT($P377,30)&amp;"*"),),)</f>
        <v/>
      </c>
      <c r="O377" s="158" t="str">
        <f>IF($P377&lt;&gt;"",IF(MAXIFS(Investment!$AH:$AH,Investment!$H:$H,LEFT($P377,30)&amp;"*"),MAXIFS(Investment!$AH:$AH,Investment!$H:$H,LEFT($P377,30)&amp;"*"),),)</f>
        <v/>
      </c>
      <c r="P377" s="141"/>
      <c r="Q377" s="156"/>
      <c r="R377" s="279"/>
    </row>
    <row r="378">
      <c r="A378" s="122">
        <v>43136.0</v>
      </c>
      <c r="B378" s="124" t="s">
        <v>343</v>
      </c>
      <c r="C378" s="130" t="s">
        <v>344</v>
      </c>
      <c r="D378" s="298" t="s">
        <v>319</v>
      </c>
      <c r="E378" s="298">
        <v>-77.0</v>
      </c>
      <c r="F378" s="264">
        <v>41.946</v>
      </c>
      <c r="G378" s="128">
        <v>3229.86</v>
      </c>
      <c r="H378" s="305" t="s">
        <v>1297</v>
      </c>
      <c r="I378" s="138">
        <f t="shared" ref="I378:J378" si="382">IFS(AND($B378&lt;&gt;"",$E378&lt;&gt;""),IF(INDEX(N:N,MATCH($C378,$P:$P,0),1)&lt;&gt;"",$E378*INDEX(N:N,MATCH($C378,$P:$P,0),1)+$G378,""),AND($B378&lt;&gt;"",$D378="COST",$G378&lt;0),$G378,TRUE,)</f>
        <v>-520.117</v>
      </c>
      <c r="J378" s="138">
        <f t="shared" si="382"/>
        <v>-343.6498438</v>
      </c>
      <c r="K378" s="266" t="str">
        <f t="shared" si="3"/>
        <v>Vanguard S&amp;P 500 UCITS</v>
      </c>
      <c r="L378" s="156">
        <f t="shared" si="4"/>
        <v>4293</v>
      </c>
      <c r="M378" s="156">
        <f t="shared" si="5"/>
        <v>-183260.93</v>
      </c>
      <c r="N378" s="155" t="str">
        <f>IF($P378&lt;&gt;"",IF(MAXIFS(Investment!$M:$M,Investment!$H:$H,LEFT($P378,30)&amp;"*"),MAXIFS(Investment!$M:$M,Investment!$H:$H,LEFT($P378,30)&amp;"*"),),)</f>
        <v/>
      </c>
      <c r="O378" s="158" t="str">
        <f>IF($P378&lt;&gt;"",IF(MAXIFS(Investment!$AH:$AH,Investment!$H:$H,LEFT($P378,30)&amp;"*"),MAXIFS(Investment!$AH:$AH,Investment!$H:$H,LEFT($P378,30)&amp;"*"),),)</f>
        <v/>
      </c>
      <c r="P378" s="141"/>
      <c r="Q378" s="156"/>
      <c r="R378" s="279"/>
    </row>
    <row r="379">
      <c r="A379" s="122">
        <v>43136.0</v>
      </c>
      <c r="B379" s="124" t="s">
        <v>343</v>
      </c>
      <c r="C379" s="130" t="s">
        <v>344</v>
      </c>
      <c r="D379" s="298" t="s">
        <v>319</v>
      </c>
      <c r="E379" s="298">
        <v>-98.0</v>
      </c>
      <c r="F379" s="264">
        <v>42.011</v>
      </c>
      <c r="G379" s="128">
        <v>4117.08</v>
      </c>
      <c r="H379" s="305" t="s">
        <v>1298</v>
      </c>
      <c r="I379" s="138">
        <f t="shared" ref="I379:J379" si="383">IFS(AND($B379&lt;&gt;"",$E379&lt;&gt;""),IF(INDEX(N:N,MATCH($C379,$P:$P,0),1)&lt;&gt;"",$E379*INDEX(N:N,MATCH($C379,$P:$P,0),1)+$G379,""),AND($B379&lt;&gt;"",$D379="COST",$G379&lt;0),$G379,TRUE,)</f>
        <v>-655.618</v>
      </c>
      <c r="J379" s="138">
        <f t="shared" si="383"/>
        <v>-431.0234375</v>
      </c>
      <c r="K379" s="266" t="str">
        <f t="shared" si="3"/>
        <v>Vanguard S&amp;P 500 UCITS</v>
      </c>
      <c r="L379" s="156">
        <f t="shared" si="4"/>
        <v>4293</v>
      </c>
      <c r="M379" s="156">
        <f t="shared" si="5"/>
        <v>-183260.93</v>
      </c>
      <c r="N379" s="155" t="str">
        <f>IF($P379&lt;&gt;"",IF(MAXIFS(Investment!$M:$M,Investment!$H:$H,LEFT($P379,30)&amp;"*"),MAXIFS(Investment!$M:$M,Investment!$H:$H,LEFT($P379,30)&amp;"*"),),)</f>
        <v/>
      </c>
      <c r="O379" s="158" t="str">
        <f>IF($P379&lt;&gt;"",IF(MAXIFS(Investment!$AH:$AH,Investment!$H:$H,LEFT($P379,30)&amp;"*"),MAXIFS(Investment!$AH:$AH,Investment!$H:$H,LEFT($P379,30)&amp;"*"),),)</f>
        <v/>
      </c>
      <c r="P379" s="141"/>
      <c r="Q379" s="156"/>
      <c r="R379" s="279"/>
    </row>
    <row r="380">
      <c r="A380" s="122">
        <v>43136.0</v>
      </c>
      <c r="B380" s="124" t="s">
        <v>343</v>
      </c>
      <c r="C380" s="130" t="s">
        <v>344</v>
      </c>
      <c r="D380" s="298" t="s">
        <v>319</v>
      </c>
      <c r="E380" s="298">
        <v>-240.0</v>
      </c>
      <c r="F380" s="264">
        <v>41.868</v>
      </c>
      <c r="G380" s="128">
        <v>10048.32</v>
      </c>
      <c r="H380" s="305" t="s">
        <v>1299</v>
      </c>
      <c r="I380" s="138">
        <f t="shared" ref="I380:J380" si="384">IFS(AND($B380&lt;&gt;"",$E380&lt;&gt;""),IF(INDEX(N:N,MATCH($C380,$P:$P,0),1)&lt;&gt;"",$E380*INDEX(N:N,MATCH($C380,$P:$P,0),1)+$G380,""),AND($B380&lt;&gt;"",$D380="COST",$G380&lt;0),$G380,TRUE,)</f>
        <v>-1639.92</v>
      </c>
      <c r="J380" s="138">
        <f t="shared" si="384"/>
        <v>-1089.8925</v>
      </c>
      <c r="K380" s="266" t="str">
        <f t="shared" si="3"/>
        <v>Vanguard S&amp;P 500 UCITS</v>
      </c>
      <c r="L380" s="156">
        <f t="shared" si="4"/>
        <v>4293</v>
      </c>
      <c r="M380" s="156">
        <f t="shared" si="5"/>
        <v>-183260.93</v>
      </c>
      <c r="N380" s="155" t="str">
        <f>IF($P380&lt;&gt;"",IF(MAXIFS(Investment!$M:$M,Investment!$H:$H,LEFT($P380,30)&amp;"*"),MAXIFS(Investment!$M:$M,Investment!$H:$H,LEFT($P380,30)&amp;"*"),),)</f>
        <v/>
      </c>
      <c r="O380" s="158" t="str">
        <f>IF($P380&lt;&gt;"",IF(MAXIFS(Investment!$AH:$AH,Investment!$H:$H,LEFT($P380,30)&amp;"*"),MAXIFS(Investment!$AH:$AH,Investment!$H:$H,LEFT($P380,30)&amp;"*"),),)</f>
        <v/>
      </c>
      <c r="P380" s="141"/>
      <c r="Q380" s="156"/>
      <c r="R380" s="279"/>
    </row>
    <row r="381">
      <c r="A381" s="122">
        <v>43136.0</v>
      </c>
      <c r="B381" s="124" t="s">
        <v>343</v>
      </c>
      <c r="C381" s="130" t="s">
        <v>344</v>
      </c>
      <c r="D381" s="298" t="s">
        <v>319</v>
      </c>
      <c r="E381" s="298">
        <v>-38.0</v>
      </c>
      <c r="F381" s="264">
        <v>41.848</v>
      </c>
      <c r="G381" s="128">
        <v>1590.24</v>
      </c>
      <c r="H381" s="305" t="s">
        <v>1300</v>
      </c>
      <c r="I381" s="138">
        <f t="shared" ref="I381:J381" si="385">IFS(AND($B381&lt;&gt;"",$E381&lt;&gt;""),IF(INDEX(N:N,MATCH($C381,$P:$P,0),1)&lt;&gt;"",$E381*INDEX(N:N,MATCH($C381,$P:$P,0),1)+$G381,""),AND($B381&lt;&gt;"",$D381="COST",$G381&lt;0),$G381,TRUE,)</f>
        <v>-260.398</v>
      </c>
      <c r="J381" s="138">
        <f t="shared" si="385"/>
        <v>-173.3103125</v>
      </c>
      <c r="K381" s="266" t="str">
        <f t="shared" si="3"/>
        <v>Vanguard S&amp;P 500 UCITS</v>
      </c>
      <c r="L381" s="156">
        <f t="shared" si="4"/>
        <v>4293</v>
      </c>
      <c r="M381" s="156">
        <f t="shared" si="5"/>
        <v>-183260.93</v>
      </c>
      <c r="N381" s="155" t="str">
        <f>IF($P381&lt;&gt;"",IF(MAXIFS(Investment!$M:$M,Investment!$H:$H,LEFT($P381,30)&amp;"*"),MAXIFS(Investment!$M:$M,Investment!$H:$H,LEFT($P381,30)&amp;"*"),),)</f>
        <v/>
      </c>
      <c r="O381" s="158" t="str">
        <f>IF($P381&lt;&gt;"",IF(MAXIFS(Investment!$AH:$AH,Investment!$H:$H,LEFT($P381,30)&amp;"*"),MAXIFS(Investment!$AH:$AH,Investment!$H:$H,LEFT($P381,30)&amp;"*"),),)</f>
        <v/>
      </c>
      <c r="P381" s="141"/>
      <c r="Q381" s="156"/>
      <c r="R381" s="279"/>
    </row>
    <row r="382">
      <c r="A382" s="122">
        <v>43136.0</v>
      </c>
      <c r="B382" s="124" t="s">
        <v>343</v>
      </c>
      <c r="C382" s="130" t="s">
        <v>344</v>
      </c>
      <c r="D382" s="298" t="s">
        <v>319</v>
      </c>
      <c r="E382" s="298">
        <v>-30.0</v>
      </c>
      <c r="F382" s="264">
        <v>41.792</v>
      </c>
      <c r="G382" s="128">
        <v>1253.76</v>
      </c>
      <c r="H382" s="305" t="s">
        <v>1301</v>
      </c>
      <c r="I382" s="138">
        <f t="shared" ref="I382:J382" si="386">IFS(AND($B382&lt;&gt;"",$E382&lt;&gt;""),IF(INDEX(N:N,MATCH($C382,$P:$P,0),1)&lt;&gt;"",$E382*INDEX(N:N,MATCH($C382,$P:$P,0),1)+$G382,""),AND($B382&lt;&gt;"",$D382="COST",$G382&lt;0),$G382,TRUE,)</f>
        <v>-207.27</v>
      </c>
      <c r="J382" s="138">
        <f t="shared" si="386"/>
        <v>-138.5165625</v>
      </c>
      <c r="K382" s="266" t="str">
        <f t="shared" si="3"/>
        <v>Vanguard S&amp;P 500 UCITS</v>
      </c>
      <c r="L382" s="156">
        <f t="shared" si="4"/>
        <v>4293</v>
      </c>
      <c r="M382" s="156">
        <f t="shared" si="5"/>
        <v>-183260.93</v>
      </c>
      <c r="N382" s="155" t="str">
        <f>IF($P382&lt;&gt;"",IF(MAXIFS(Investment!$M:$M,Investment!$H:$H,LEFT($P382,30)&amp;"*"),MAXIFS(Investment!$M:$M,Investment!$H:$H,LEFT($P382,30)&amp;"*"),),)</f>
        <v/>
      </c>
      <c r="O382" s="158" t="str">
        <f>IF($P382&lt;&gt;"",IF(MAXIFS(Investment!$AH:$AH,Investment!$H:$H,LEFT($P382,30)&amp;"*"),MAXIFS(Investment!$AH:$AH,Investment!$H:$H,LEFT($P382,30)&amp;"*"),),)</f>
        <v/>
      </c>
      <c r="P382" s="141"/>
      <c r="Q382" s="156"/>
      <c r="R382" s="279"/>
    </row>
    <row r="383">
      <c r="A383" s="122">
        <v>43136.0</v>
      </c>
      <c r="B383" s="124" t="s">
        <v>343</v>
      </c>
      <c r="C383" s="130" t="s">
        <v>344</v>
      </c>
      <c r="D383" s="298" t="s">
        <v>319</v>
      </c>
      <c r="E383" s="298">
        <v>-45.0</v>
      </c>
      <c r="F383" s="264">
        <v>41.811</v>
      </c>
      <c r="G383" s="128">
        <v>1881.5</v>
      </c>
      <c r="H383" s="305" t="s">
        <v>1302</v>
      </c>
      <c r="I383" s="138">
        <f t="shared" ref="I383:J383" si="387">IFS(AND($B383&lt;&gt;"",$E383&lt;&gt;""),IF(INDEX(N:N,MATCH($C383,$P:$P,0),1)&lt;&gt;"",$E383*INDEX(N:N,MATCH($C383,$P:$P,0),1)+$G383,""),AND($B383&lt;&gt;"",$D383="COST",$G383&lt;0),$G383,TRUE,)</f>
        <v>-310.045</v>
      </c>
      <c r="J383" s="138">
        <f t="shared" si="387"/>
        <v>-206.9148438</v>
      </c>
      <c r="K383" s="266" t="str">
        <f t="shared" si="3"/>
        <v>Vanguard S&amp;P 500 UCITS</v>
      </c>
      <c r="L383" s="156">
        <f t="shared" si="4"/>
        <v>4293</v>
      </c>
      <c r="M383" s="156">
        <f t="shared" si="5"/>
        <v>-183260.93</v>
      </c>
      <c r="N383" s="155" t="str">
        <f>IF($P383&lt;&gt;"",IF(MAXIFS(Investment!$M:$M,Investment!$H:$H,LEFT($P383,30)&amp;"*"),MAXIFS(Investment!$M:$M,Investment!$H:$H,LEFT($P383,30)&amp;"*"),),)</f>
        <v/>
      </c>
      <c r="O383" s="158" t="str">
        <f>IF($P383&lt;&gt;"",IF(MAXIFS(Investment!$AH:$AH,Investment!$H:$H,LEFT($P383,30)&amp;"*"),MAXIFS(Investment!$AH:$AH,Investment!$H:$H,LEFT($P383,30)&amp;"*"),),)</f>
        <v/>
      </c>
      <c r="P383" s="141"/>
      <c r="Q383" s="156"/>
      <c r="R383" s="279"/>
    </row>
    <row r="384">
      <c r="A384" s="122">
        <v>43136.0</v>
      </c>
      <c r="B384" s="124" t="s">
        <v>343</v>
      </c>
      <c r="C384" s="130" t="s">
        <v>344</v>
      </c>
      <c r="D384" s="298" t="s">
        <v>319</v>
      </c>
      <c r="E384" s="298">
        <v>-50.0</v>
      </c>
      <c r="F384" s="264">
        <v>41.796</v>
      </c>
      <c r="G384" s="128">
        <v>2089.8</v>
      </c>
      <c r="H384" s="305" t="s">
        <v>1303</v>
      </c>
      <c r="I384" s="138">
        <f t="shared" ref="I384:J384" si="388">IFS(AND($B384&lt;&gt;"",$E384&lt;&gt;""),IF(INDEX(N:N,MATCH($C384,$P:$P,0),1)&lt;&gt;"",$E384*INDEX(N:N,MATCH($C384,$P:$P,0),1)+$G384,""),AND($B384&lt;&gt;"",$D384="COST",$G384&lt;0),$G384,TRUE,)</f>
        <v>-345.25</v>
      </c>
      <c r="J384" s="138">
        <f t="shared" si="388"/>
        <v>-230.6609375</v>
      </c>
      <c r="K384" s="266" t="str">
        <f t="shared" si="3"/>
        <v>Vanguard S&amp;P 500 UCITS</v>
      </c>
      <c r="L384" s="156">
        <f t="shared" si="4"/>
        <v>4293</v>
      </c>
      <c r="M384" s="156">
        <f t="shared" si="5"/>
        <v>-183260.93</v>
      </c>
      <c r="N384" s="155" t="str">
        <f>IF($P384&lt;&gt;"",IF(MAXIFS(Investment!$M:$M,Investment!$H:$H,LEFT($P384,30)&amp;"*"),MAXIFS(Investment!$M:$M,Investment!$H:$H,LEFT($P384,30)&amp;"*"),),)</f>
        <v/>
      </c>
      <c r="O384" s="158" t="str">
        <f>IF($P384&lt;&gt;"",IF(MAXIFS(Investment!$AH:$AH,Investment!$H:$H,LEFT($P384,30)&amp;"*"),MAXIFS(Investment!$AH:$AH,Investment!$H:$H,LEFT($P384,30)&amp;"*"),),)</f>
        <v/>
      </c>
      <c r="P384" s="141"/>
      <c r="Q384" s="156"/>
      <c r="R384" s="279"/>
    </row>
    <row r="385">
      <c r="A385" s="122">
        <v>43136.0</v>
      </c>
      <c r="B385" s="124" t="s">
        <v>343</v>
      </c>
      <c r="C385" s="130" t="s">
        <v>344</v>
      </c>
      <c r="D385" s="298" t="s">
        <v>319</v>
      </c>
      <c r="E385" s="298">
        <v>-20.0</v>
      </c>
      <c r="F385" s="264">
        <v>41.796</v>
      </c>
      <c r="G385" s="128">
        <v>835.92</v>
      </c>
      <c r="H385" s="305" t="s">
        <v>1304</v>
      </c>
      <c r="I385" s="138">
        <f t="shared" ref="I385:J385" si="389">IFS(AND($B385&lt;&gt;"",$E385&lt;&gt;""),IF(INDEX(N:N,MATCH($C385,$P:$P,0),1)&lt;&gt;"",$E385*INDEX(N:N,MATCH($C385,$P:$P,0),1)+$G385,""),AND($B385&lt;&gt;"",$D385="COST",$G385&lt;0),$G385,TRUE,)</f>
        <v>-138.1</v>
      </c>
      <c r="J385" s="138">
        <f t="shared" si="389"/>
        <v>-92.264375</v>
      </c>
      <c r="K385" s="266" t="str">
        <f t="shared" si="3"/>
        <v>Vanguard S&amp;P 500 UCITS</v>
      </c>
      <c r="L385" s="156">
        <f t="shared" si="4"/>
        <v>4293</v>
      </c>
      <c r="M385" s="156">
        <f t="shared" si="5"/>
        <v>-183260.93</v>
      </c>
      <c r="N385" s="155" t="str">
        <f>IF($P385&lt;&gt;"",IF(MAXIFS(Investment!$M:$M,Investment!$H:$H,LEFT($P385,30)&amp;"*"),MAXIFS(Investment!$M:$M,Investment!$H:$H,LEFT($P385,30)&amp;"*"),),)</f>
        <v/>
      </c>
      <c r="O385" s="158" t="str">
        <f>IF($P385&lt;&gt;"",IF(MAXIFS(Investment!$AH:$AH,Investment!$H:$H,LEFT($P385,30)&amp;"*"),MAXIFS(Investment!$AH:$AH,Investment!$H:$H,LEFT($P385,30)&amp;"*"),),)</f>
        <v/>
      </c>
      <c r="P385" s="141"/>
      <c r="Q385" s="156"/>
      <c r="R385" s="279"/>
    </row>
    <row r="386">
      <c r="A386" s="122">
        <v>43136.0</v>
      </c>
      <c r="B386" s="124" t="s">
        <v>343</v>
      </c>
      <c r="C386" s="130" t="s">
        <v>344</v>
      </c>
      <c r="D386" s="298" t="s">
        <v>378</v>
      </c>
      <c r="E386" s="298"/>
      <c r="F386" s="264"/>
      <c r="G386" s="128">
        <v>-2.17</v>
      </c>
      <c r="H386" s="305" t="s">
        <v>1305</v>
      </c>
      <c r="I386" s="138">
        <f t="shared" ref="I386:J386" si="390">IFS(AND($B386&lt;&gt;"",$E386&lt;&gt;""),IF(INDEX(N:N,MATCH($C386,$P:$P,0),1)&lt;&gt;"",$E386*INDEX(N:N,MATCH($C386,$P:$P,0),1)+$G386,""),AND($B386&lt;&gt;"",$D386="COST",$G386&lt;0),$G386,TRUE,)</f>
        <v>-2.17</v>
      </c>
      <c r="J386" s="138">
        <f t="shared" si="390"/>
        <v>-2.17</v>
      </c>
      <c r="K386" s="266" t="str">
        <f t="shared" si="3"/>
        <v>Vanguard S&amp;P 500 UCITS</v>
      </c>
      <c r="L386" s="156">
        <f t="shared" si="4"/>
        <v>4293</v>
      </c>
      <c r="M386" s="156">
        <f t="shared" si="5"/>
        <v>-183260.93</v>
      </c>
      <c r="N386" s="155" t="str">
        <f>IF($P386&lt;&gt;"",IF(MAXIFS(Investment!$M:$M,Investment!$H:$H,LEFT($P386,30)&amp;"*"),MAXIFS(Investment!$M:$M,Investment!$H:$H,LEFT($P386,30)&amp;"*"),),)</f>
        <v/>
      </c>
      <c r="O386" s="158" t="str">
        <f>IF($P386&lt;&gt;"",IF(MAXIFS(Investment!$AH:$AH,Investment!$H:$H,LEFT($P386,30)&amp;"*"),MAXIFS(Investment!$AH:$AH,Investment!$H:$H,LEFT($P386,30)&amp;"*"),),)</f>
        <v/>
      </c>
      <c r="P386" s="141"/>
      <c r="Q386" s="156"/>
      <c r="R386" s="279"/>
    </row>
    <row r="387">
      <c r="A387" s="122">
        <v>43136.0</v>
      </c>
      <c r="B387" s="124" t="s">
        <v>343</v>
      </c>
      <c r="C387" s="130" t="s">
        <v>344</v>
      </c>
      <c r="D387" s="298" t="s">
        <v>319</v>
      </c>
      <c r="E387" s="298">
        <v>-10.0</v>
      </c>
      <c r="F387" s="264">
        <v>41.796</v>
      </c>
      <c r="G387" s="128">
        <v>417.96</v>
      </c>
      <c r="H387" s="305" t="s">
        <v>1306</v>
      </c>
      <c r="I387" s="138">
        <f t="shared" ref="I387:J387" si="391">IFS(AND($B387&lt;&gt;"",$E387&lt;&gt;""),IF(INDEX(N:N,MATCH($C387,$P:$P,0),1)&lt;&gt;"",$E387*INDEX(N:N,MATCH($C387,$P:$P,0),1)+$G387,""),AND($B387&lt;&gt;"",$D387="COST",$G387&lt;0),$G387,TRUE,)</f>
        <v>-69.05</v>
      </c>
      <c r="J387" s="138">
        <f t="shared" si="391"/>
        <v>-46.1321875</v>
      </c>
      <c r="K387" s="266" t="str">
        <f t="shared" si="3"/>
        <v>Vanguard S&amp;P 500 UCITS</v>
      </c>
      <c r="L387" s="156">
        <f t="shared" si="4"/>
        <v>4293</v>
      </c>
      <c r="M387" s="156">
        <f t="shared" si="5"/>
        <v>-183260.93</v>
      </c>
      <c r="N387" s="155" t="str">
        <f>IF($P387&lt;&gt;"",IF(MAXIFS(Investment!$M:$M,Investment!$H:$H,LEFT($P387,30)&amp;"*"),MAXIFS(Investment!$M:$M,Investment!$H:$H,LEFT($P387,30)&amp;"*"),),)</f>
        <v/>
      </c>
      <c r="O387" s="158" t="str">
        <f>IF($P387&lt;&gt;"",IF(MAXIFS(Investment!$AH:$AH,Investment!$H:$H,LEFT($P387,30)&amp;"*"),MAXIFS(Investment!$AH:$AH,Investment!$H:$H,LEFT($P387,30)&amp;"*"),),)</f>
        <v/>
      </c>
      <c r="P387" s="141"/>
      <c r="Q387" s="156"/>
      <c r="R387" s="279"/>
    </row>
    <row r="388">
      <c r="A388" s="122">
        <v>43136.0</v>
      </c>
      <c r="B388" s="124" t="s">
        <v>343</v>
      </c>
      <c r="C388" s="130" t="s">
        <v>344</v>
      </c>
      <c r="D388" s="298" t="s">
        <v>378</v>
      </c>
      <c r="E388" s="298"/>
      <c r="F388" s="264"/>
      <c r="G388" s="128">
        <v>-2.08</v>
      </c>
      <c r="H388" s="305" t="s">
        <v>1307</v>
      </c>
      <c r="I388" s="138">
        <f t="shared" ref="I388:J388" si="392">IFS(AND($B388&lt;&gt;"",$E388&lt;&gt;""),IF(INDEX(N:N,MATCH($C388,$P:$P,0),1)&lt;&gt;"",$E388*INDEX(N:N,MATCH($C388,$P:$P,0),1)+$G388,""),AND($B388&lt;&gt;"",$D388="COST",$G388&lt;0),$G388,TRUE,)</f>
        <v>-2.08</v>
      </c>
      <c r="J388" s="138">
        <f t="shared" si="392"/>
        <v>-2.08</v>
      </c>
      <c r="K388" s="266" t="str">
        <f t="shared" si="3"/>
        <v>Vanguard S&amp;P 500 UCITS</v>
      </c>
      <c r="L388" s="156">
        <f t="shared" si="4"/>
        <v>4293</v>
      </c>
      <c r="M388" s="156">
        <f t="shared" si="5"/>
        <v>-183260.93</v>
      </c>
      <c r="N388" s="155" t="str">
        <f>IF($P388&lt;&gt;"",IF(MAXIFS(Investment!$M:$M,Investment!$H:$H,LEFT($P388,30)&amp;"*"),MAXIFS(Investment!$M:$M,Investment!$H:$H,LEFT($P388,30)&amp;"*"),),)</f>
        <v/>
      </c>
      <c r="O388" s="158" t="str">
        <f>IF($P388&lt;&gt;"",IF(MAXIFS(Investment!$AH:$AH,Investment!$H:$H,LEFT($P388,30)&amp;"*"),MAXIFS(Investment!$AH:$AH,Investment!$H:$H,LEFT($P388,30)&amp;"*"),),)</f>
        <v/>
      </c>
      <c r="P388" s="141"/>
      <c r="Q388" s="156"/>
      <c r="R388" s="279"/>
    </row>
    <row r="389">
      <c r="A389" s="122">
        <v>43136.0</v>
      </c>
      <c r="B389" s="124"/>
      <c r="C389" s="130"/>
      <c r="D389" s="298" t="s">
        <v>378</v>
      </c>
      <c r="E389" s="298"/>
      <c r="F389" s="264"/>
      <c r="G389" s="128">
        <v>0.02</v>
      </c>
      <c r="H389" s="305" t="s">
        <v>1308</v>
      </c>
      <c r="I389" s="138" t="str">
        <f t="shared" ref="I389:J389" si="393">IFS(AND($B389&lt;&gt;"",$E389&lt;&gt;""),IF(INDEX(N:N,MATCH($C389,$P:$P,0),1)&lt;&gt;"",$E389*INDEX(N:N,MATCH($C389,$P:$P,0),1)+$G389,""),AND($B389&lt;&gt;"",$D389="COST",$G389&lt;0),$G389,TRUE,)</f>
        <v/>
      </c>
      <c r="J389" s="138" t="str">
        <f t="shared" si="393"/>
        <v/>
      </c>
      <c r="K389" s="266" t="str">
        <f t="shared" si="3"/>
        <v/>
      </c>
      <c r="L389" s="156" t="str">
        <f t="shared" si="4"/>
        <v/>
      </c>
      <c r="M389" s="156" t="str">
        <f t="shared" si="5"/>
        <v/>
      </c>
      <c r="N389" s="155" t="str">
        <f>IF($P389&lt;&gt;"",IF(MAXIFS(Investment!$M:$M,Investment!$H:$H,LEFT($P389,30)&amp;"*"),MAXIFS(Investment!$M:$M,Investment!$H:$H,LEFT($P389,30)&amp;"*"),),)</f>
        <v/>
      </c>
      <c r="O389" s="158" t="str">
        <f>IF($P389&lt;&gt;"",IF(MAXIFS(Investment!$AH:$AH,Investment!$H:$H,LEFT($P389,30)&amp;"*"),MAXIFS(Investment!$AH:$AH,Investment!$H:$H,LEFT($P389,30)&amp;"*"),),)</f>
        <v/>
      </c>
      <c r="P389" s="141"/>
      <c r="Q389" s="156"/>
      <c r="R389" s="279"/>
    </row>
    <row r="390">
      <c r="A390" s="122">
        <v>43133.0</v>
      </c>
      <c r="B390" s="124"/>
      <c r="C390" s="130"/>
      <c r="D390" s="298" t="s">
        <v>378</v>
      </c>
      <c r="E390" s="298"/>
      <c r="F390" s="264"/>
      <c r="G390" s="128">
        <v>-193.75</v>
      </c>
      <c r="H390" s="305" t="s">
        <v>1309</v>
      </c>
      <c r="I390" s="138" t="str">
        <f t="shared" ref="I390:J390" si="394">IFS(AND($B390&lt;&gt;"",$E390&lt;&gt;""),IF(INDEX(N:N,MATCH($C390,$P:$P,0),1)&lt;&gt;"",$E390*INDEX(N:N,MATCH($C390,$P:$P,0),1)+$G390,""),AND($B390&lt;&gt;"",$D390="COST",$G390&lt;0),$G390,TRUE,)</f>
        <v/>
      </c>
      <c r="J390" s="138" t="str">
        <f t="shared" si="394"/>
        <v/>
      </c>
      <c r="K390" s="266" t="str">
        <f t="shared" si="3"/>
        <v/>
      </c>
      <c r="L390" s="156" t="str">
        <f t="shared" si="4"/>
        <v/>
      </c>
      <c r="M390" s="156" t="str">
        <f t="shared" si="5"/>
        <v/>
      </c>
      <c r="N390" s="155" t="str">
        <f>IF($P390&lt;&gt;"",IF(MAXIFS(Investment!$M:$M,Investment!$H:$H,LEFT($P390,30)&amp;"*"),MAXIFS(Investment!$M:$M,Investment!$H:$H,LEFT($P390,30)&amp;"*"),),)</f>
        <v/>
      </c>
      <c r="O390" s="158" t="str">
        <f>IF($P390&lt;&gt;"",IF(MAXIFS(Investment!$AH:$AH,Investment!$H:$H,LEFT($P390,30)&amp;"*"),MAXIFS(Investment!$AH:$AH,Investment!$H:$H,LEFT($P390,30)&amp;"*"),),)</f>
        <v/>
      </c>
      <c r="P390" s="141"/>
      <c r="Q390" s="156"/>
      <c r="R390" s="279"/>
    </row>
    <row r="391">
      <c r="A391" s="122">
        <v>43132.0</v>
      </c>
      <c r="B391" s="124"/>
      <c r="C391" s="130"/>
      <c r="D391" s="298" t="s">
        <v>378</v>
      </c>
      <c r="E391" s="298"/>
      <c r="F391" s="264"/>
      <c r="G391" s="128">
        <v>-7.5</v>
      </c>
      <c r="H391" s="305" t="s">
        <v>1310</v>
      </c>
      <c r="I391" s="138" t="str">
        <f t="shared" ref="I391:J391" si="395">IFS(AND($B391&lt;&gt;"",$E391&lt;&gt;""),IF(INDEX(N:N,MATCH($C391,$P:$P,0),1)&lt;&gt;"",$E391*INDEX(N:N,MATCH($C391,$P:$P,0),1)+$G391,""),AND($B391&lt;&gt;"",$D391="COST",$G391&lt;0),$G391,TRUE,)</f>
        <v/>
      </c>
      <c r="J391" s="138" t="str">
        <f t="shared" si="395"/>
        <v/>
      </c>
      <c r="K391" s="266" t="str">
        <f t="shared" si="3"/>
        <v/>
      </c>
      <c r="L391" s="156" t="str">
        <f t="shared" si="4"/>
        <v/>
      </c>
      <c r="M391" s="156" t="str">
        <f t="shared" si="5"/>
        <v/>
      </c>
      <c r="N391" s="155" t="str">
        <f>IF($P391&lt;&gt;"",IF(MAXIFS(Investment!$M:$M,Investment!$H:$H,LEFT($P391,30)&amp;"*"),MAXIFS(Investment!$M:$M,Investment!$H:$H,LEFT($P391,30)&amp;"*"),),)</f>
        <v/>
      </c>
      <c r="O391" s="158" t="str">
        <f>IF($P391&lt;&gt;"",IF(MAXIFS(Investment!$AH:$AH,Investment!$H:$H,LEFT($P391,30)&amp;"*"),MAXIFS(Investment!$AH:$AH,Investment!$H:$H,LEFT($P391,30)&amp;"*"),),)</f>
        <v/>
      </c>
      <c r="P391" s="141"/>
      <c r="Q391" s="156"/>
      <c r="R391" s="279"/>
    </row>
    <row r="392">
      <c r="A392" s="122">
        <v>43126.0</v>
      </c>
      <c r="B392" s="124" t="s">
        <v>328</v>
      </c>
      <c r="C392" s="130" t="s">
        <v>329</v>
      </c>
      <c r="D392" s="298" t="s">
        <v>330</v>
      </c>
      <c r="E392" s="298">
        <v>1375.0</v>
      </c>
      <c r="F392" s="264">
        <v>7.35</v>
      </c>
      <c r="G392" s="128">
        <v>-10106.25</v>
      </c>
      <c r="H392" s="305" t="s">
        <v>1311</v>
      </c>
      <c r="I392" s="138">
        <f t="shared" ref="I392:J392" si="396">IFS(AND($B392&lt;&gt;"",$E392&lt;&gt;""),IF(INDEX(N:N,MATCH($C392,$P:$P,0),1)&lt;&gt;"",$E392*INDEX(N:N,MATCH($C392,$P:$P,0),1)+$G392,""),AND($B392&lt;&gt;"",$D392="COST",$G392&lt;0),$G392,TRUE,)</f>
        <v>-203.5</v>
      </c>
      <c r="J392" s="138">
        <f t="shared" si="396"/>
        <v>-39.36474609</v>
      </c>
      <c r="K392" s="266" t="str">
        <f t="shared" si="3"/>
        <v>ETFS All Commodities ETC</v>
      </c>
      <c r="L392" s="156">
        <f t="shared" si="4"/>
        <v>11470</v>
      </c>
      <c r="M392" s="156">
        <f t="shared" si="5"/>
        <v>-83154.49</v>
      </c>
      <c r="N392" s="155" t="str">
        <f>IF($P392&lt;&gt;"",IF(MAXIFS(Investment!$M:$M,Investment!$H:$H,LEFT($P392,30)&amp;"*"),MAXIFS(Investment!$M:$M,Investment!$H:$H,LEFT($P392,30)&amp;"*"),),)</f>
        <v/>
      </c>
      <c r="O392" s="158" t="str">
        <f>IF($P392&lt;&gt;"",IF(MAXIFS(Investment!$AH:$AH,Investment!$H:$H,LEFT($P392,30)&amp;"*"),MAXIFS(Investment!$AH:$AH,Investment!$H:$H,LEFT($P392,30)&amp;"*"),),)</f>
        <v/>
      </c>
      <c r="P392" s="141"/>
      <c r="Q392" s="156"/>
      <c r="R392" s="279"/>
    </row>
    <row r="393">
      <c r="A393" s="122">
        <v>43126.0</v>
      </c>
      <c r="B393" s="124" t="s">
        <v>343</v>
      </c>
      <c r="C393" s="130" t="s">
        <v>344</v>
      </c>
      <c r="D393" s="298" t="s">
        <v>330</v>
      </c>
      <c r="E393" s="298">
        <v>937.0</v>
      </c>
      <c r="F393" s="264">
        <v>43.31</v>
      </c>
      <c r="G393" s="128">
        <v>-40581.47</v>
      </c>
      <c r="H393" s="305" t="s">
        <v>1312</v>
      </c>
      <c r="I393" s="138">
        <f t="shared" ref="I393:J393" si="397">IFS(AND($B393&lt;&gt;"",$E393&lt;&gt;""),IF(INDEX(N:N,MATCH($C393,$P:$P,0),1)&lt;&gt;"",$E393*INDEX(N:N,MATCH($C393,$P:$P,0),1)+$G393,""),AND($B393&lt;&gt;"",$D393="COST",$G393&lt;0),$G393,TRUE,)</f>
        <v>5051.367</v>
      </c>
      <c r="J393" s="138">
        <f t="shared" si="397"/>
        <v>2903.967969</v>
      </c>
      <c r="K393" s="266" t="str">
        <f t="shared" si="3"/>
        <v>Vanguard S&amp;P 500 UCITS</v>
      </c>
      <c r="L393" s="156">
        <f t="shared" si="4"/>
        <v>4293</v>
      </c>
      <c r="M393" s="156">
        <f t="shared" si="5"/>
        <v>-183260.93</v>
      </c>
      <c r="N393" s="155" t="str">
        <f>IF($P393&lt;&gt;"",IF(MAXIFS(Investment!$M:$M,Investment!$H:$H,LEFT($P393,30)&amp;"*"),MAXIFS(Investment!$M:$M,Investment!$H:$H,LEFT($P393,30)&amp;"*"),),)</f>
        <v/>
      </c>
      <c r="O393" s="158" t="str">
        <f>IF($P393&lt;&gt;"",IF(MAXIFS(Investment!$AH:$AH,Investment!$H:$H,LEFT($P393,30)&amp;"*"),MAXIFS(Investment!$AH:$AH,Investment!$H:$H,LEFT($P393,30)&amp;"*"),),)</f>
        <v/>
      </c>
      <c r="P393" s="141"/>
      <c r="Q393" s="156"/>
      <c r="R393" s="279"/>
    </row>
    <row r="394">
      <c r="A394" s="122">
        <v>43125.0</v>
      </c>
      <c r="B394" s="124"/>
      <c r="C394" s="130"/>
      <c r="D394" s="298" t="s">
        <v>378</v>
      </c>
      <c r="E394" s="298"/>
      <c r="F394" s="264"/>
      <c r="G394" s="128">
        <v>-0.01</v>
      </c>
      <c r="H394" s="305" t="s">
        <v>1283</v>
      </c>
      <c r="I394" s="138" t="str">
        <f t="shared" ref="I394:J394" si="398">IFS(AND($B394&lt;&gt;"",$E394&lt;&gt;""),IF(INDEX(N:N,MATCH($C394,$P:$P,0),1)&lt;&gt;"",$E394*INDEX(N:N,MATCH($C394,$P:$P,0),1)+$G394,""),AND($B394&lt;&gt;"",$D394="COST",$G394&lt;0),$G394,TRUE,)</f>
        <v/>
      </c>
      <c r="J394" s="138" t="str">
        <f t="shared" si="398"/>
        <v/>
      </c>
      <c r="K394" s="266" t="str">
        <f t="shared" si="3"/>
        <v/>
      </c>
      <c r="L394" s="156" t="str">
        <f t="shared" si="4"/>
        <v/>
      </c>
      <c r="M394" s="156" t="str">
        <f t="shared" si="5"/>
        <v/>
      </c>
      <c r="N394" s="155" t="str">
        <f>IF($P394&lt;&gt;"",IF(MAXIFS(Investment!$M:$M,Investment!$H:$H,LEFT($P394,30)&amp;"*"),MAXIFS(Investment!$M:$M,Investment!$H:$H,LEFT($P394,30)&amp;"*"),),)</f>
        <v/>
      </c>
      <c r="O394" s="158" t="str">
        <f>IF($P394&lt;&gt;"",IF(MAXIFS(Investment!$AH:$AH,Investment!$H:$H,LEFT($P394,30)&amp;"*"),MAXIFS(Investment!$AH:$AH,Investment!$H:$H,LEFT($P394,30)&amp;"*"),),)</f>
        <v/>
      </c>
      <c r="P394" s="141"/>
      <c r="Q394" s="156"/>
      <c r="R394" s="279"/>
    </row>
    <row r="395">
      <c r="A395" s="122">
        <v>43124.0</v>
      </c>
      <c r="B395" s="124"/>
      <c r="C395" s="130"/>
      <c r="D395" s="298" t="s">
        <v>378</v>
      </c>
      <c r="E395" s="298"/>
      <c r="F395" s="264"/>
      <c r="G395" s="128">
        <v>0.05</v>
      </c>
      <c r="H395" s="305" t="s">
        <v>1313</v>
      </c>
      <c r="I395" s="138" t="str">
        <f t="shared" ref="I395:J395" si="399">IFS(AND($B395&lt;&gt;"",$E395&lt;&gt;""),IF(INDEX(N:N,MATCH($C395,$P:$P,0),1)&lt;&gt;"",$E395*INDEX(N:N,MATCH($C395,$P:$P,0),1)+$G395,""),AND($B395&lt;&gt;"",$D395="COST",$G395&lt;0),$G395,TRUE,)</f>
        <v/>
      </c>
      <c r="J395" s="138" t="str">
        <f t="shared" si="399"/>
        <v/>
      </c>
      <c r="K395" s="266" t="str">
        <f t="shared" si="3"/>
        <v/>
      </c>
      <c r="L395" s="156" t="str">
        <f t="shared" si="4"/>
        <v/>
      </c>
      <c r="M395" s="156" t="str">
        <f t="shared" si="5"/>
        <v/>
      </c>
      <c r="N395" s="155" t="str">
        <f>IF($P395&lt;&gt;"",IF(MAXIFS(Investment!$M:$M,Investment!$H:$H,LEFT($P395,30)&amp;"*"),MAXIFS(Investment!$M:$M,Investment!$H:$H,LEFT($P395,30)&amp;"*"),),)</f>
        <v/>
      </c>
      <c r="O395" s="158" t="str">
        <f>IF($P395&lt;&gt;"",IF(MAXIFS(Investment!$AH:$AH,Investment!$H:$H,LEFT($P395,30)&amp;"*"),MAXIFS(Investment!$AH:$AH,Investment!$H:$H,LEFT($P395,30)&amp;"*"),),)</f>
        <v/>
      </c>
      <c r="P395" s="141"/>
      <c r="Q395" s="156"/>
      <c r="R395" s="279"/>
    </row>
    <row r="396">
      <c r="A396" s="122">
        <v>43115.0</v>
      </c>
      <c r="B396" s="124" t="s">
        <v>328</v>
      </c>
      <c r="C396" s="130" t="s">
        <v>329</v>
      </c>
      <c r="D396" s="298" t="s">
        <v>330</v>
      </c>
      <c r="E396" s="298">
        <v>860.0</v>
      </c>
      <c r="F396" s="264">
        <v>7.395</v>
      </c>
      <c r="G396" s="128">
        <v>-6359.7</v>
      </c>
      <c r="H396" s="305" t="s">
        <v>1314</v>
      </c>
      <c r="I396" s="138">
        <f t="shared" ref="I396:J396" si="400">IFS(AND($B396&lt;&gt;"",$E396&lt;&gt;""),IF(INDEX(N:N,MATCH($C396,$P:$P,0),1)&lt;&gt;"",$E396*INDEX(N:N,MATCH($C396,$P:$P,0),1)+$G396,""),AND($B396&lt;&gt;"",$D396="COST",$G396&lt;0),$G396,TRUE,)</f>
        <v>-165.98</v>
      </c>
      <c r="J396" s="138">
        <f t="shared" si="400"/>
        <v>-63.32085938</v>
      </c>
      <c r="K396" s="266" t="str">
        <f t="shared" si="3"/>
        <v>ETFS All Commodities ETC</v>
      </c>
      <c r="L396" s="156">
        <f t="shared" si="4"/>
        <v>11470</v>
      </c>
      <c r="M396" s="156">
        <f t="shared" si="5"/>
        <v>-83154.49</v>
      </c>
      <c r="N396" s="155" t="str">
        <f>IF($P396&lt;&gt;"",IF(MAXIFS(Investment!$M:$M,Investment!$H:$H,LEFT($P396,30)&amp;"*"),MAXIFS(Investment!$M:$M,Investment!$H:$H,LEFT($P396,30)&amp;"*"),),)</f>
        <v/>
      </c>
      <c r="O396" s="158" t="str">
        <f>IF($P396&lt;&gt;"",IF(MAXIFS(Investment!$AH:$AH,Investment!$H:$H,LEFT($P396,30)&amp;"*"),MAXIFS(Investment!$AH:$AH,Investment!$H:$H,LEFT($P396,30)&amp;"*"),),)</f>
        <v/>
      </c>
      <c r="P396" s="141"/>
      <c r="Q396" s="156"/>
      <c r="R396" s="279"/>
    </row>
    <row r="397">
      <c r="A397" s="122">
        <v>43115.0</v>
      </c>
      <c r="B397" s="124" t="s">
        <v>343</v>
      </c>
      <c r="C397" s="130" t="s">
        <v>344</v>
      </c>
      <c r="D397" s="298" t="s">
        <v>330</v>
      </c>
      <c r="E397" s="298">
        <v>615.0</v>
      </c>
      <c r="F397" s="264">
        <v>43.436</v>
      </c>
      <c r="G397" s="128">
        <v>-26713.14</v>
      </c>
      <c r="H397" s="305" t="s">
        <v>1315</v>
      </c>
      <c r="I397" s="138">
        <f t="shared" ref="I397:J397" si="401">IFS(AND($B397&lt;&gt;"",$E397&lt;&gt;""),IF(INDEX(N:N,MATCH($C397,$P:$P,0),1)&lt;&gt;"",$E397*INDEX(N:N,MATCH($C397,$P:$P,0),1)+$G397,""),AND($B397&lt;&gt;"",$D397="COST",$G397&lt;0),$G397,TRUE,)</f>
        <v>3237.975</v>
      </c>
      <c r="J397" s="138">
        <f t="shared" si="401"/>
        <v>1828.529531</v>
      </c>
      <c r="K397" s="266" t="str">
        <f t="shared" si="3"/>
        <v>Vanguard S&amp;P 500 UCITS</v>
      </c>
      <c r="L397" s="156">
        <f t="shared" si="4"/>
        <v>4293</v>
      </c>
      <c r="M397" s="156">
        <f t="shared" si="5"/>
        <v>-183260.93</v>
      </c>
      <c r="N397" s="155" t="str">
        <f>IF($P397&lt;&gt;"",IF(MAXIFS(Investment!$M:$M,Investment!$H:$H,LEFT($P397,30)&amp;"*"),MAXIFS(Investment!$M:$M,Investment!$H:$H,LEFT($P397,30)&amp;"*"),),)</f>
        <v/>
      </c>
      <c r="O397" s="158" t="str">
        <f>IF($P397&lt;&gt;"",IF(MAXIFS(Investment!$AH:$AH,Investment!$H:$H,LEFT($P397,30)&amp;"*"),MAXIFS(Investment!$AH:$AH,Investment!$H:$H,LEFT($P397,30)&amp;"*"),),)</f>
        <v/>
      </c>
      <c r="P397" s="141"/>
      <c r="Q397" s="156"/>
      <c r="R397" s="279"/>
    </row>
    <row r="398">
      <c r="A398" s="122">
        <v>43110.0</v>
      </c>
      <c r="B398" s="124" t="s">
        <v>343</v>
      </c>
      <c r="C398" s="130" t="s">
        <v>344</v>
      </c>
      <c r="D398" s="298" t="s">
        <v>272</v>
      </c>
      <c r="E398" s="298"/>
      <c r="F398" s="264"/>
      <c r="G398" s="128">
        <v>-42.4</v>
      </c>
      <c r="H398" s="305" t="s">
        <v>1316</v>
      </c>
      <c r="I398" s="138" t="str">
        <f t="shared" ref="I398:J398" si="402">IFS(AND($B398&lt;&gt;"",$E398&lt;&gt;""),IF(INDEX(N:N,MATCH($C398,$P:$P,0),1)&lt;&gt;"",$E398*INDEX(N:N,MATCH($C398,$P:$P,0),1)+$G398,""),AND($B398&lt;&gt;"",$D398="COST",$G398&lt;0),$G398,TRUE,)</f>
        <v/>
      </c>
      <c r="J398" s="138" t="str">
        <f t="shared" si="402"/>
        <v/>
      </c>
      <c r="K398" s="266" t="str">
        <f t="shared" si="3"/>
        <v>Vanguard S&amp;P 500 UCITS</v>
      </c>
      <c r="L398" s="156">
        <f t="shared" si="4"/>
        <v>4293</v>
      </c>
      <c r="M398" s="156">
        <f t="shared" si="5"/>
        <v>-183260.93</v>
      </c>
      <c r="N398" s="155" t="str">
        <f>IF($P398&lt;&gt;"",IF(MAXIFS(Investment!$M:$M,Investment!$H:$H,LEFT($P398,30)&amp;"*"),MAXIFS(Investment!$M:$M,Investment!$H:$H,LEFT($P398,30)&amp;"*"),),)</f>
        <v/>
      </c>
      <c r="O398" s="158" t="str">
        <f>IF($P398&lt;&gt;"",IF(MAXIFS(Investment!$AH:$AH,Investment!$H:$H,LEFT($P398,30)&amp;"*"),MAXIFS(Investment!$AH:$AH,Investment!$H:$H,LEFT($P398,30)&amp;"*"),),)</f>
        <v/>
      </c>
      <c r="P398" s="141"/>
      <c r="Q398" s="156"/>
      <c r="R398" s="279"/>
    </row>
    <row r="399">
      <c r="A399" s="122">
        <v>43109.0</v>
      </c>
      <c r="B399" s="124" t="s">
        <v>343</v>
      </c>
      <c r="C399" s="130" t="s">
        <v>344</v>
      </c>
      <c r="D399" s="298" t="s">
        <v>272</v>
      </c>
      <c r="E399" s="298"/>
      <c r="F399" s="264"/>
      <c r="G399" s="128">
        <v>259.89</v>
      </c>
      <c r="H399" s="305" t="s">
        <v>1317</v>
      </c>
      <c r="I399" s="138" t="str">
        <f t="shared" ref="I399:J399" si="403">IFS(AND($B399&lt;&gt;"",$E399&lt;&gt;""),IF(INDEX(N:N,MATCH($C399,$P:$P,0),1)&lt;&gt;"",$E399*INDEX(N:N,MATCH($C399,$P:$P,0),1)+$G399,""),AND($B399&lt;&gt;"",$D399="COST",$G399&lt;0),$G399,TRUE,)</f>
        <v/>
      </c>
      <c r="J399" s="138" t="str">
        <f t="shared" si="403"/>
        <v/>
      </c>
      <c r="K399" s="266" t="str">
        <f t="shared" si="3"/>
        <v>Vanguard S&amp;P 500 UCITS</v>
      </c>
      <c r="L399" s="156">
        <f t="shared" si="4"/>
        <v>4293</v>
      </c>
      <c r="M399" s="156">
        <f t="shared" si="5"/>
        <v>-183260.93</v>
      </c>
      <c r="N399" s="155" t="str">
        <f>IF($P399&lt;&gt;"",IF(MAXIFS(Investment!$M:$M,Investment!$H:$H,LEFT($P399,30)&amp;"*"),MAXIFS(Investment!$M:$M,Investment!$H:$H,LEFT($P399,30)&amp;"*"),),)</f>
        <v/>
      </c>
      <c r="O399" s="158" t="str">
        <f>IF($P399&lt;&gt;"",IF(MAXIFS(Investment!$AH:$AH,Investment!$H:$H,LEFT($P399,30)&amp;"*"),MAXIFS(Investment!$AH:$AH,Investment!$H:$H,LEFT($P399,30)&amp;"*"),),)</f>
        <v/>
      </c>
      <c r="P399" s="141"/>
      <c r="Q399" s="156"/>
      <c r="R399" s="279"/>
    </row>
    <row r="400">
      <c r="A400" s="122">
        <v>43105.0</v>
      </c>
      <c r="B400" s="124"/>
      <c r="C400" s="130"/>
      <c r="D400" s="298" t="s">
        <v>312</v>
      </c>
      <c r="E400" s="298"/>
      <c r="F400" s="264"/>
      <c r="G400" s="128">
        <v>30000.0</v>
      </c>
      <c r="H400" s="305" t="s">
        <v>1318</v>
      </c>
      <c r="I400" s="138" t="str">
        <f t="shared" ref="I400:J400" si="404">IFS(AND($B400&lt;&gt;"",$E400&lt;&gt;""),IF(INDEX(N:N,MATCH($C400,$P:$P,0),1)&lt;&gt;"",$E400*INDEX(N:N,MATCH($C400,$P:$P,0),1)+$G400,""),AND($B400&lt;&gt;"",$D400="COST",$G400&lt;0),$G400,TRUE,)</f>
        <v/>
      </c>
      <c r="J400" s="138" t="str">
        <f t="shared" si="404"/>
        <v/>
      </c>
      <c r="K400" s="266" t="str">
        <f t="shared" si="3"/>
        <v/>
      </c>
      <c r="L400" s="156" t="str">
        <f t="shared" si="4"/>
        <v/>
      </c>
      <c r="M400" s="156" t="str">
        <f t="shared" si="5"/>
        <v/>
      </c>
      <c r="N400" s="155" t="str">
        <f>IF($P400&lt;&gt;"",IF(MAXIFS(Investment!$M:$M,Investment!$H:$H,LEFT($P400,30)&amp;"*"),MAXIFS(Investment!$M:$M,Investment!$H:$H,LEFT($P400,30)&amp;"*"),),)</f>
        <v/>
      </c>
      <c r="O400" s="158" t="str">
        <f>IF($P400&lt;&gt;"",IF(MAXIFS(Investment!$AH:$AH,Investment!$H:$H,LEFT($P400,30)&amp;"*"),MAXIFS(Investment!$AH:$AH,Investment!$H:$H,LEFT($P400,30)&amp;"*"),),)</f>
        <v/>
      </c>
      <c r="P400" s="141"/>
      <c r="Q400" s="156"/>
      <c r="R400" s="279"/>
    </row>
    <row r="401">
      <c r="A401" s="122">
        <v>43103.0</v>
      </c>
      <c r="B401" s="124" t="s">
        <v>364</v>
      </c>
      <c r="C401" s="130" t="s">
        <v>1256</v>
      </c>
      <c r="D401" s="298" t="s">
        <v>272</v>
      </c>
      <c r="E401" s="298"/>
      <c r="F401" s="264"/>
      <c r="G401" s="128">
        <v>-132.32</v>
      </c>
      <c r="H401" s="305" t="s">
        <v>1319</v>
      </c>
      <c r="I401" s="138" t="str">
        <f t="shared" ref="I401:J401" si="405">IFS(AND($B401&lt;&gt;"",$E401&lt;&gt;""),IF(INDEX(N:N,MATCH($C401,$P:$P,0),1)&lt;&gt;"",$E401*INDEX(N:N,MATCH($C401,$P:$P,0),1)+$G401,""),AND($B401&lt;&gt;"",$D401="COST",$G401&lt;0),$G401,TRUE,)</f>
        <v/>
      </c>
      <c r="J401" s="138" t="str">
        <f t="shared" si="405"/>
        <v/>
      </c>
      <c r="K401" s="266" t="str">
        <f t="shared" si="3"/>
        <v>Vanguard Intermediate-Term Treasury ETF</v>
      </c>
      <c r="L401" s="156">
        <f t="shared" si="4"/>
        <v>0</v>
      </c>
      <c r="M401" s="156">
        <f t="shared" si="5"/>
        <v>-1817.48</v>
      </c>
      <c r="N401" s="155" t="str">
        <f>IF($P401&lt;&gt;"",IF(MAXIFS(Investment!$M:$M,Investment!$H:$H,LEFT($P401,30)&amp;"*"),MAXIFS(Investment!$M:$M,Investment!$H:$H,LEFT($P401,30)&amp;"*"),),)</f>
        <v/>
      </c>
      <c r="O401" s="158" t="str">
        <f>IF($P401&lt;&gt;"",IF(MAXIFS(Investment!$AH:$AH,Investment!$H:$H,LEFT($P401,30)&amp;"*"),MAXIFS(Investment!$AH:$AH,Investment!$H:$H,LEFT($P401,30)&amp;"*"),),)</f>
        <v/>
      </c>
      <c r="P401" s="141"/>
      <c r="Q401" s="156"/>
      <c r="R401" s="279"/>
    </row>
    <row r="402">
      <c r="A402" s="122">
        <v>43103.0</v>
      </c>
      <c r="B402" s="124"/>
      <c r="C402" s="130"/>
      <c r="D402" s="298" t="s">
        <v>378</v>
      </c>
      <c r="E402" s="298"/>
      <c r="F402" s="264"/>
      <c r="G402" s="128">
        <v>-127.19</v>
      </c>
      <c r="H402" s="305" t="s">
        <v>1320</v>
      </c>
      <c r="I402" s="138" t="str">
        <f t="shared" ref="I402:J402" si="406">IFS(AND($B402&lt;&gt;"",$E402&lt;&gt;""),IF(INDEX(N:N,MATCH($C402,$P:$P,0),1)&lt;&gt;"",$E402*INDEX(N:N,MATCH($C402,$P:$P,0),1)+$G402,""),AND($B402&lt;&gt;"",$D402="COST",$G402&lt;0),$G402,TRUE,)</f>
        <v/>
      </c>
      <c r="J402" s="138" t="str">
        <f t="shared" si="406"/>
        <v/>
      </c>
      <c r="K402" s="266" t="str">
        <f t="shared" si="3"/>
        <v/>
      </c>
      <c r="L402" s="156" t="str">
        <f t="shared" si="4"/>
        <v/>
      </c>
      <c r="M402" s="156" t="str">
        <f t="shared" si="5"/>
        <v/>
      </c>
      <c r="N402" s="155" t="str">
        <f>IF($P402&lt;&gt;"",IF(MAXIFS(Investment!$M:$M,Investment!$H:$H,LEFT($P402,30)&amp;"*"),MAXIFS(Investment!$M:$M,Investment!$H:$H,LEFT($P402,30)&amp;"*"),),)</f>
        <v/>
      </c>
      <c r="O402" s="158" t="str">
        <f>IF($P402&lt;&gt;"",IF(MAXIFS(Investment!$AH:$AH,Investment!$H:$H,LEFT($P402,30)&amp;"*"),MAXIFS(Investment!$AH:$AH,Investment!$H:$H,LEFT($P402,30)&amp;"*"),),)</f>
        <v/>
      </c>
      <c r="P402" s="141"/>
      <c r="Q402" s="156"/>
      <c r="R402" s="279"/>
    </row>
    <row r="403">
      <c r="A403" s="122">
        <v>43102.0</v>
      </c>
      <c r="B403" s="124" t="s">
        <v>268</v>
      </c>
      <c r="C403" s="130" t="s">
        <v>1196</v>
      </c>
      <c r="D403" s="298" t="s">
        <v>272</v>
      </c>
      <c r="E403" s="298"/>
      <c r="F403" s="264"/>
      <c r="G403" s="128">
        <v>519.88</v>
      </c>
      <c r="H403" s="305" t="s">
        <v>1321</v>
      </c>
      <c r="I403" s="138" t="str">
        <f t="shared" ref="I403:J403" si="407">IFS(AND($B403&lt;&gt;"",$E403&lt;&gt;""),IF(INDEX(N:N,MATCH($C403,$P:$P,0),1)&lt;&gt;"",$E403*INDEX(N:N,MATCH($C403,$P:$P,0),1)+$G403,""),AND($B403&lt;&gt;"",$D403="COST",$G403&lt;0),$G403,TRUE,)</f>
        <v/>
      </c>
      <c r="J403" s="138" t="str">
        <f t="shared" si="407"/>
        <v/>
      </c>
      <c r="K403" s="266" t="str">
        <f t="shared" si="3"/>
        <v>Vanguard Extended Duration Treasury ETF</v>
      </c>
      <c r="L403" s="156">
        <f t="shared" si="4"/>
        <v>0</v>
      </c>
      <c r="M403" s="156">
        <f t="shared" si="5"/>
        <v>-4941.36</v>
      </c>
      <c r="N403" s="155" t="str">
        <f>IF($P403&lt;&gt;"",IF(MAXIFS(Investment!$M:$M,Investment!$H:$H,LEFT($P403,30)&amp;"*"),MAXIFS(Investment!$M:$M,Investment!$H:$H,LEFT($P403,30)&amp;"*"),),)</f>
        <v/>
      </c>
      <c r="O403" s="158" t="str">
        <f>IF($P403&lt;&gt;"",IF(MAXIFS(Investment!$AH:$AH,Investment!$H:$H,LEFT($P403,30)&amp;"*"),MAXIFS(Investment!$AH:$AH,Investment!$H:$H,LEFT($P403,30)&amp;"*"),),)</f>
        <v/>
      </c>
      <c r="P403" s="141"/>
      <c r="Q403" s="156"/>
      <c r="R403" s="279"/>
    </row>
    <row r="404">
      <c r="A404" s="122">
        <v>43102.0</v>
      </c>
      <c r="B404" s="124" t="s">
        <v>268</v>
      </c>
      <c r="C404" s="130" t="s">
        <v>1196</v>
      </c>
      <c r="D404" s="298" t="s">
        <v>272</v>
      </c>
      <c r="E404" s="298"/>
      <c r="F404" s="264"/>
      <c r="G404" s="128">
        <v>208.14</v>
      </c>
      <c r="H404" s="305" t="s">
        <v>1322</v>
      </c>
      <c r="I404" s="138" t="str">
        <f t="shared" ref="I404:J404" si="408">IFS(AND($B404&lt;&gt;"",$E404&lt;&gt;""),IF(INDEX(N:N,MATCH($C404,$P:$P,0),1)&lt;&gt;"",$E404*INDEX(N:N,MATCH($C404,$P:$P,0),1)+$G404,""),AND($B404&lt;&gt;"",$D404="COST",$G404&lt;0),$G404,TRUE,)</f>
        <v/>
      </c>
      <c r="J404" s="138" t="str">
        <f t="shared" si="408"/>
        <v/>
      </c>
      <c r="K404" s="266" t="str">
        <f t="shared" si="3"/>
        <v>Vanguard Extended Duration Treasury ETF</v>
      </c>
      <c r="L404" s="156">
        <f t="shared" si="4"/>
        <v>0</v>
      </c>
      <c r="M404" s="156">
        <f t="shared" si="5"/>
        <v>-4941.36</v>
      </c>
      <c r="N404" s="155" t="str">
        <f>IF($P404&lt;&gt;"",IF(MAXIFS(Investment!$M:$M,Investment!$H:$H,LEFT($P404,30)&amp;"*"),MAXIFS(Investment!$M:$M,Investment!$H:$H,LEFT($P404,30)&amp;"*"),),)</f>
        <v/>
      </c>
      <c r="O404" s="158" t="str">
        <f>IF($P404&lt;&gt;"",IF(MAXIFS(Investment!$AH:$AH,Investment!$H:$H,LEFT($P404,30)&amp;"*"),MAXIFS(Investment!$AH:$AH,Investment!$H:$H,LEFT($P404,30)&amp;"*"),),)</f>
        <v/>
      </c>
      <c r="P404" s="141"/>
      <c r="Q404" s="156"/>
      <c r="R404" s="279"/>
    </row>
    <row r="405">
      <c r="A405" s="122">
        <v>43102.0</v>
      </c>
      <c r="B405" s="124" t="s">
        <v>364</v>
      </c>
      <c r="C405" s="130" t="s">
        <v>1256</v>
      </c>
      <c r="D405" s="298" t="s">
        <v>272</v>
      </c>
      <c r="E405" s="298"/>
      <c r="F405" s="264"/>
      <c r="G405" s="128">
        <v>43.79</v>
      </c>
      <c r="H405" s="305" t="s">
        <v>1323</v>
      </c>
      <c r="I405" s="138" t="str">
        <f t="shared" ref="I405:J405" si="409">IFS(AND($B405&lt;&gt;"",$E405&lt;&gt;""),IF(INDEX(N:N,MATCH($C405,$P:$P,0),1)&lt;&gt;"",$E405*INDEX(N:N,MATCH($C405,$P:$P,0),1)+$G405,""),AND($B405&lt;&gt;"",$D405="COST",$G405&lt;0),$G405,TRUE,)</f>
        <v/>
      </c>
      <c r="J405" s="138" t="str">
        <f t="shared" si="409"/>
        <v/>
      </c>
      <c r="K405" s="266" t="str">
        <f t="shared" si="3"/>
        <v>Vanguard Intermediate-Term Treasury ETF</v>
      </c>
      <c r="L405" s="156">
        <f t="shared" si="4"/>
        <v>0</v>
      </c>
      <c r="M405" s="156">
        <f t="shared" si="5"/>
        <v>-1817.48</v>
      </c>
      <c r="N405" s="155" t="str">
        <f>IF($P405&lt;&gt;"",IF(MAXIFS(Investment!$M:$M,Investment!$H:$H,LEFT($P405,30)&amp;"*"),MAXIFS(Investment!$M:$M,Investment!$H:$H,LEFT($P405,30)&amp;"*"),),)</f>
        <v/>
      </c>
      <c r="O405" s="158" t="str">
        <f>IF($P405&lt;&gt;"",IF(MAXIFS(Investment!$AH:$AH,Investment!$H:$H,LEFT($P405,30)&amp;"*"),MAXIFS(Investment!$AH:$AH,Investment!$H:$H,LEFT($P405,30)&amp;"*"),),)</f>
        <v/>
      </c>
      <c r="P405" s="141"/>
      <c r="Q405" s="156"/>
      <c r="R405" s="279"/>
    </row>
    <row r="406">
      <c r="A406" s="122">
        <v>43090.0</v>
      </c>
      <c r="B406" s="124" t="s">
        <v>343</v>
      </c>
      <c r="C406" s="130" t="s">
        <v>344</v>
      </c>
      <c r="D406" s="298" t="s">
        <v>319</v>
      </c>
      <c r="E406" s="298">
        <v>-26.0</v>
      </c>
      <c r="F406" s="264">
        <v>42.848</v>
      </c>
      <c r="G406" s="128">
        <v>1114.05</v>
      </c>
      <c r="H406" s="305" t="s">
        <v>1324</v>
      </c>
      <c r="I406" s="138">
        <f t="shared" ref="I406:J406" si="410">IFS(AND($B406&lt;&gt;"",$E406&lt;&gt;""),IF(INDEX(N:N,MATCH($C406,$P:$P,0),1)&lt;&gt;"",$E406*INDEX(N:N,MATCH($C406,$P:$P,0),1)+$G406,""),AND($B406&lt;&gt;"",$D406="COST",$G406&lt;0),$G406,TRUE,)</f>
        <v>-152.176</v>
      </c>
      <c r="J406" s="138">
        <f t="shared" si="410"/>
        <v>-92.5896875</v>
      </c>
      <c r="K406" s="266" t="str">
        <f t="shared" si="3"/>
        <v>Vanguard S&amp;P 500 UCITS</v>
      </c>
      <c r="L406" s="156">
        <f t="shared" si="4"/>
        <v>4293</v>
      </c>
      <c r="M406" s="156">
        <f t="shared" si="5"/>
        <v>-183260.93</v>
      </c>
      <c r="N406" s="155" t="str">
        <f>IF($P406&lt;&gt;"",IF(MAXIFS(Investment!$M:$M,Investment!$H:$H,LEFT($P406,30)&amp;"*"),MAXIFS(Investment!$M:$M,Investment!$H:$H,LEFT($P406,30)&amp;"*"),),)</f>
        <v/>
      </c>
      <c r="O406" s="158" t="str">
        <f>IF($P406&lt;&gt;"",IF(MAXIFS(Investment!$AH:$AH,Investment!$H:$H,LEFT($P406,30)&amp;"*"),MAXIFS(Investment!$AH:$AH,Investment!$H:$H,LEFT($P406,30)&amp;"*"),),)</f>
        <v/>
      </c>
      <c r="P406" s="141"/>
      <c r="Q406" s="156"/>
      <c r="R406" s="279"/>
    </row>
    <row r="407">
      <c r="A407" s="122">
        <v>43090.0</v>
      </c>
      <c r="B407" s="124" t="s">
        <v>343</v>
      </c>
      <c r="C407" s="130" t="s">
        <v>344</v>
      </c>
      <c r="D407" s="298" t="s">
        <v>378</v>
      </c>
      <c r="E407" s="298"/>
      <c r="F407" s="264"/>
      <c r="G407" s="128">
        <v>-2.22</v>
      </c>
      <c r="H407" s="305" t="s">
        <v>1325</v>
      </c>
      <c r="I407" s="138">
        <f t="shared" ref="I407:J407" si="411">IFS(AND($B407&lt;&gt;"",$E407&lt;&gt;""),IF(INDEX(N:N,MATCH($C407,$P:$P,0),1)&lt;&gt;"",$E407*INDEX(N:N,MATCH($C407,$P:$P,0),1)+$G407,""),AND($B407&lt;&gt;"",$D407="COST",$G407&lt;0),$G407,TRUE,)</f>
        <v>-2.22</v>
      </c>
      <c r="J407" s="138">
        <f t="shared" si="411"/>
        <v>-2.22</v>
      </c>
      <c r="K407" s="266" t="str">
        <f t="shared" si="3"/>
        <v>Vanguard S&amp;P 500 UCITS</v>
      </c>
      <c r="L407" s="156">
        <f t="shared" si="4"/>
        <v>4293</v>
      </c>
      <c r="M407" s="156">
        <f t="shared" si="5"/>
        <v>-183260.93</v>
      </c>
      <c r="N407" s="155" t="str">
        <f>IF($P407&lt;&gt;"",IF(MAXIFS(Investment!$M:$M,Investment!$H:$H,LEFT($P407,30)&amp;"*"),MAXIFS(Investment!$M:$M,Investment!$H:$H,LEFT($P407,30)&amp;"*"),),)</f>
        <v/>
      </c>
      <c r="O407" s="158" t="str">
        <f>IF($P407&lt;&gt;"",IF(MAXIFS(Investment!$AH:$AH,Investment!$H:$H,LEFT($P407,30)&amp;"*"),MAXIFS(Investment!$AH:$AH,Investment!$H:$H,LEFT($P407,30)&amp;"*"),),)</f>
        <v/>
      </c>
      <c r="P407" s="141"/>
      <c r="Q407" s="156"/>
      <c r="R407" s="279"/>
    </row>
    <row r="408">
      <c r="A408" s="122">
        <v>43089.0</v>
      </c>
      <c r="B408" s="124" t="s">
        <v>268</v>
      </c>
      <c r="C408" s="130" t="s">
        <v>1196</v>
      </c>
      <c r="D408" s="298" t="s">
        <v>330</v>
      </c>
      <c r="E408" s="298">
        <v>11.0</v>
      </c>
      <c r="F408" s="264">
        <v>99.46</v>
      </c>
      <c r="G408" s="128">
        <v>-1094.1</v>
      </c>
      <c r="H408" s="305" t="s">
        <v>1326</v>
      </c>
      <c r="I408" s="138" t="str">
        <f t="shared" ref="I408:J408" si="412">IFS(AND($B408&lt;&gt;"",$E408&lt;&gt;""),IF(INDEX(N:N,MATCH($C408,$P:$P,0),1)&lt;&gt;"",$E408*INDEX(N:N,MATCH($C408,$P:$P,0),1)+$G408,""),AND($B408&lt;&gt;"",$D408="COST",$G408&lt;0),$G408,TRUE,)</f>
        <v/>
      </c>
      <c r="J408" s="138" t="str">
        <f t="shared" si="412"/>
        <v/>
      </c>
      <c r="K408" s="266" t="str">
        <f t="shared" si="3"/>
        <v>Vanguard Extended Duration Treasury ETF</v>
      </c>
      <c r="L408" s="156">
        <f t="shared" si="4"/>
        <v>0</v>
      </c>
      <c r="M408" s="156">
        <f t="shared" si="5"/>
        <v>-4941.36</v>
      </c>
      <c r="N408" s="155" t="str">
        <f>IF($P408&lt;&gt;"",IF(MAXIFS(Investment!$M:$M,Investment!$H:$H,LEFT($P408,30)&amp;"*"),MAXIFS(Investment!$M:$M,Investment!$H:$H,LEFT($P408,30)&amp;"*"),),)</f>
        <v/>
      </c>
      <c r="O408" s="158" t="str">
        <f>IF($P408&lt;&gt;"",IF(MAXIFS(Investment!$AH:$AH,Investment!$H:$H,LEFT($P408,30)&amp;"*"),MAXIFS(Investment!$AH:$AH,Investment!$H:$H,LEFT($P408,30)&amp;"*"),),)</f>
        <v/>
      </c>
      <c r="P408" s="141"/>
      <c r="Q408" s="156"/>
      <c r="R408" s="279"/>
    </row>
    <row r="409">
      <c r="A409" s="122">
        <v>43080.0</v>
      </c>
      <c r="B409" s="124" t="s">
        <v>328</v>
      </c>
      <c r="C409" s="130" t="s">
        <v>329</v>
      </c>
      <c r="D409" s="298" t="s">
        <v>330</v>
      </c>
      <c r="E409" s="298">
        <v>311.0</v>
      </c>
      <c r="F409" s="264">
        <v>7.225</v>
      </c>
      <c r="G409" s="128">
        <v>-2246.97</v>
      </c>
      <c r="H409" s="305" t="s">
        <v>1327</v>
      </c>
      <c r="I409" s="138">
        <f t="shared" ref="I409:J409" si="413">IFS(AND($B409&lt;&gt;"",$E409&lt;&gt;""),IF(INDEX(N:N,MATCH($C409,$P:$P,0),1)&lt;&gt;"",$E409*INDEX(N:N,MATCH($C409,$P:$P,0),1)+$G409,""),AND($B409&lt;&gt;"",$D409="COST",$G409&lt;0),$G409,TRUE,)</f>
        <v>-7.148</v>
      </c>
      <c r="J409" s="138">
        <f t="shared" si="413"/>
        <v>29.97641016</v>
      </c>
      <c r="K409" s="266" t="str">
        <f t="shared" si="3"/>
        <v>ETFS All Commodities ETC</v>
      </c>
      <c r="L409" s="156">
        <f t="shared" si="4"/>
        <v>11470</v>
      </c>
      <c r="M409" s="156">
        <f t="shared" si="5"/>
        <v>-83154.49</v>
      </c>
      <c r="N409" s="155" t="str">
        <f>IF($P409&lt;&gt;"",IF(MAXIFS(Investment!$M:$M,Investment!$H:$H,LEFT($P409,30)&amp;"*"),MAXIFS(Investment!$M:$M,Investment!$H:$H,LEFT($P409,30)&amp;"*"),),)</f>
        <v/>
      </c>
      <c r="O409" s="158" t="str">
        <f>IF($P409&lt;&gt;"",IF(MAXIFS(Investment!$AH:$AH,Investment!$H:$H,LEFT($P409,30)&amp;"*"),MAXIFS(Investment!$AH:$AH,Investment!$H:$H,LEFT($P409,30)&amp;"*"),),)</f>
        <v/>
      </c>
      <c r="P409" s="141"/>
      <c r="Q409" s="156"/>
      <c r="R409" s="279"/>
    </row>
    <row r="410">
      <c r="A410" s="122">
        <v>43080.0</v>
      </c>
      <c r="B410" s="124" t="s">
        <v>343</v>
      </c>
      <c r="C410" s="130" t="s">
        <v>344</v>
      </c>
      <c r="D410" s="298" t="s">
        <v>330</v>
      </c>
      <c r="E410" s="298">
        <v>206.0</v>
      </c>
      <c r="F410" s="264">
        <v>42.94</v>
      </c>
      <c r="G410" s="128">
        <v>-8845.64</v>
      </c>
      <c r="H410" s="305" t="s">
        <v>1328</v>
      </c>
      <c r="I410" s="138">
        <f t="shared" ref="I410:J410" si="414">IFS(AND($B410&lt;&gt;"",$E410&lt;&gt;""),IF(INDEX(N:N,MATCH($C410,$P:$P,0),1)&lt;&gt;"",$E410*INDEX(N:N,MATCH($C410,$P:$P,0),1)+$G410,""),AND($B410&lt;&gt;"",$D410="COST",$G410&lt;0),$G410,TRUE,)</f>
        <v>1186.766</v>
      </c>
      <c r="J410" s="138">
        <f t="shared" si="414"/>
        <v>714.6590625</v>
      </c>
      <c r="K410" s="266" t="str">
        <f t="shared" si="3"/>
        <v>Vanguard S&amp;P 500 UCITS</v>
      </c>
      <c r="L410" s="156">
        <f t="shared" si="4"/>
        <v>4293</v>
      </c>
      <c r="M410" s="156">
        <f t="shared" si="5"/>
        <v>-183260.93</v>
      </c>
      <c r="N410" s="155" t="str">
        <f>IF($P410&lt;&gt;"",IF(MAXIFS(Investment!$M:$M,Investment!$H:$H,LEFT($P410,30)&amp;"*"),MAXIFS(Investment!$M:$M,Investment!$H:$H,LEFT($P410,30)&amp;"*"),),)</f>
        <v/>
      </c>
      <c r="O410" s="158" t="str">
        <f>IF($P410&lt;&gt;"",IF(MAXIFS(Investment!$AH:$AH,Investment!$H:$H,LEFT($P410,30)&amp;"*"),MAXIFS(Investment!$AH:$AH,Investment!$H:$H,LEFT($P410,30)&amp;"*"),),)</f>
        <v/>
      </c>
      <c r="P410" s="141"/>
      <c r="Q410" s="156"/>
      <c r="R410" s="279"/>
    </row>
    <row r="411">
      <c r="A411" s="122">
        <v>43080.0</v>
      </c>
      <c r="B411" s="124" t="s">
        <v>317</v>
      </c>
      <c r="C411" s="130" t="s">
        <v>1269</v>
      </c>
      <c r="D411" s="298" t="s">
        <v>330</v>
      </c>
      <c r="E411" s="298">
        <v>267.0</v>
      </c>
      <c r="F411" s="264">
        <v>10.17</v>
      </c>
      <c r="G411" s="128">
        <v>-2714.52</v>
      </c>
      <c r="H411" s="305" t="s">
        <v>1329</v>
      </c>
      <c r="I411" s="138" t="str">
        <f t="shared" ref="I411:J411" si="415">IFS(AND($B411&lt;&gt;"",$E411&lt;&gt;""),IF(INDEX(N:N,MATCH($C411,$P:$P,0),1)&lt;&gt;"",$E411*INDEX(N:N,MATCH($C411,$P:$P,0),1)+$G411,""),AND($B411&lt;&gt;"",$D411="COST",$G411&lt;0),$G411,TRUE,)</f>
        <v/>
      </c>
      <c r="J411" s="138" t="str">
        <f t="shared" si="415"/>
        <v/>
      </c>
      <c r="K411" s="266" t="str">
        <f t="shared" si="3"/>
        <v>iShares Gold Trust</v>
      </c>
      <c r="L411" s="156">
        <f t="shared" si="4"/>
        <v>0</v>
      </c>
      <c r="M411" s="156">
        <f t="shared" si="5"/>
        <v>140.23</v>
      </c>
      <c r="N411" s="155" t="str">
        <f>IF($P411&lt;&gt;"",IF(MAXIFS(Investment!$M:$M,Investment!$H:$H,LEFT($P411,30)&amp;"*"),MAXIFS(Investment!$M:$M,Investment!$H:$H,LEFT($P411,30)&amp;"*"),),)</f>
        <v/>
      </c>
      <c r="O411" s="158" t="str">
        <f>IF($P411&lt;&gt;"",IF(MAXIFS(Investment!$AH:$AH,Investment!$H:$H,LEFT($P411,30)&amp;"*"),MAXIFS(Investment!$AH:$AH,Investment!$H:$H,LEFT($P411,30)&amp;"*"),),)</f>
        <v/>
      </c>
      <c r="P411" s="141"/>
      <c r="Q411" s="156"/>
      <c r="R411" s="279"/>
    </row>
    <row r="412">
      <c r="A412" s="122">
        <v>43080.0</v>
      </c>
      <c r="B412" s="124" t="s">
        <v>268</v>
      </c>
      <c r="C412" s="130" t="s">
        <v>1196</v>
      </c>
      <c r="D412" s="298" t="s">
        <v>330</v>
      </c>
      <c r="E412" s="298">
        <v>108.0</v>
      </c>
      <c r="F412" s="264">
        <v>103.18</v>
      </c>
      <c r="G412" s="128">
        <v>-11143.33</v>
      </c>
      <c r="H412" s="305" t="s">
        <v>1330</v>
      </c>
      <c r="I412" s="138" t="str">
        <f t="shared" ref="I412:J412" si="416">IFS(AND($B412&lt;&gt;"",$E412&lt;&gt;""),IF(INDEX(N:N,MATCH($C412,$P:$P,0),1)&lt;&gt;"",$E412*INDEX(N:N,MATCH($C412,$P:$P,0),1)+$G412,""),AND($B412&lt;&gt;"",$D412="COST",$G412&lt;0),$G412,TRUE,)</f>
        <v/>
      </c>
      <c r="J412" s="138" t="str">
        <f t="shared" si="416"/>
        <v/>
      </c>
      <c r="K412" s="266" t="str">
        <f t="shared" si="3"/>
        <v>Vanguard Extended Duration Treasury ETF</v>
      </c>
      <c r="L412" s="156">
        <f t="shared" si="4"/>
        <v>0</v>
      </c>
      <c r="M412" s="156">
        <f t="shared" si="5"/>
        <v>-4941.36</v>
      </c>
      <c r="N412" s="155" t="str">
        <f>IF($P412&lt;&gt;"",IF(MAXIFS(Investment!$M:$M,Investment!$H:$H,LEFT($P412,30)&amp;"*"),MAXIFS(Investment!$M:$M,Investment!$H:$H,LEFT($P412,30)&amp;"*"),),)</f>
        <v/>
      </c>
      <c r="O412" s="158" t="str">
        <f>IF($P412&lt;&gt;"",IF(MAXIFS(Investment!$AH:$AH,Investment!$H:$H,LEFT($P412,30)&amp;"*"),MAXIFS(Investment!$AH:$AH,Investment!$H:$H,LEFT($P412,30)&amp;"*"),),)</f>
        <v/>
      </c>
      <c r="P412" s="141"/>
      <c r="Q412" s="156"/>
      <c r="R412" s="279"/>
    </row>
    <row r="413">
      <c r="A413" s="122">
        <v>43080.0</v>
      </c>
      <c r="B413" s="124" t="s">
        <v>364</v>
      </c>
      <c r="C413" s="130" t="s">
        <v>1256</v>
      </c>
      <c r="D413" s="298" t="s">
        <v>378</v>
      </c>
      <c r="E413" s="298"/>
      <c r="F413" s="264"/>
      <c r="G413" s="128">
        <v>-3.0</v>
      </c>
      <c r="H413" s="305" t="s">
        <v>1331</v>
      </c>
      <c r="I413" s="138">
        <f t="shared" ref="I413:J413" si="417">IFS(AND($B413&lt;&gt;"",$E413&lt;&gt;""),IF(INDEX(N:N,MATCH($C413,$P:$P,0),1)&lt;&gt;"",$E413*INDEX(N:N,MATCH($C413,$P:$P,0),1)+$G413,""),AND($B413&lt;&gt;"",$D413="COST",$G413&lt;0),$G413,TRUE,)</f>
        <v>-3</v>
      </c>
      <c r="J413" s="138">
        <f t="shared" si="417"/>
        <v>-3</v>
      </c>
      <c r="K413" s="266" t="str">
        <f t="shared" si="3"/>
        <v>Vanguard Intermediate-Term Treasury ETF</v>
      </c>
      <c r="L413" s="156">
        <f t="shared" si="4"/>
        <v>0</v>
      </c>
      <c r="M413" s="156">
        <f t="shared" si="5"/>
        <v>-1817.48</v>
      </c>
      <c r="N413" s="155" t="str">
        <f>IF($P413&lt;&gt;"",IF(MAXIFS(Investment!$M:$M,Investment!$H:$H,LEFT($P413,30)&amp;"*"),MAXIFS(Investment!$M:$M,Investment!$H:$H,LEFT($P413,30)&amp;"*"),),)</f>
        <v/>
      </c>
      <c r="O413" s="158" t="str">
        <f>IF($P413&lt;&gt;"",IF(MAXIFS(Investment!$AH:$AH,Investment!$H:$H,LEFT($P413,30)&amp;"*"),MAXIFS(Investment!$AH:$AH,Investment!$H:$H,LEFT($P413,30)&amp;"*"),),)</f>
        <v/>
      </c>
      <c r="P413" s="141"/>
      <c r="Q413" s="156"/>
      <c r="R413" s="279"/>
    </row>
    <row r="414">
      <c r="A414" s="122">
        <v>43080.0</v>
      </c>
      <c r="B414" s="124" t="s">
        <v>364</v>
      </c>
      <c r="C414" s="130" t="s">
        <v>1256</v>
      </c>
      <c r="D414" s="298" t="s">
        <v>330</v>
      </c>
      <c r="E414" s="298">
        <v>92.0</v>
      </c>
      <c r="F414" s="264">
        <v>54.49</v>
      </c>
      <c r="G414" s="128">
        <v>-5013.47</v>
      </c>
      <c r="H414" s="305" t="s">
        <v>1332</v>
      </c>
      <c r="I414" s="138" t="str">
        <f t="shared" ref="I414:J414" si="418">IFS(AND($B414&lt;&gt;"",$E414&lt;&gt;""),IF(INDEX(N:N,MATCH($C414,$P:$P,0),1)&lt;&gt;"",$E414*INDEX(N:N,MATCH($C414,$P:$P,0),1)+$G414,""),AND($B414&lt;&gt;"",$D414="COST",$G414&lt;0),$G414,TRUE,)</f>
        <v/>
      </c>
      <c r="J414" s="138" t="str">
        <f t="shared" si="418"/>
        <v/>
      </c>
      <c r="K414" s="266" t="str">
        <f t="shared" si="3"/>
        <v>Vanguard Intermediate-Term Treasury ETF</v>
      </c>
      <c r="L414" s="156">
        <f t="shared" si="4"/>
        <v>0</v>
      </c>
      <c r="M414" s="156">
        <f t="shared" si="5"/>
        <v>-1817.48</v>
      </c>
      <c r="N414" s="155" t="str">
        <f>IF($P414&lt;&gt;"",IF(MAXIFS(Investment!$M:$M,Investment!$H:$H,LEFT($P414,30)&amp;"*"),MAXIFS(Investment!$M:$M,Investment!$H:$H,LEFT($P414,30)&amp;"*"),),)</f>
        <v/>
      </c>
      <c r="O414" s="158" t="str">
        <f>IF($P414&lt;&gt;"",IF(MAXIFS(Investment!$AH:$AH,Investment!$H:$H,LEFT($P414,30)&amp;"*"),MAXIFS(Investment!$AH:$AH,Investment!$H:$H,LEFT($P414,30)&amp;"*"),),)</f>
        <v/>
      </c>
      <c r="P414" s="141"/>
      <c r="Q414" s="156"/>
      <c r="R414" s="279"/>
    </row>
    <row r="415">
      <c r="A415" s="122">
        <v>43077.0</v>
      </c>
      <c r="B415" s="124" t="s">
        <v>364</v>
      </c>
      <c r="C415" s="130" t="s">
        <v>1256</v>
      </c>
      <c r="D415" s="298" t="s">
        <v>272</v>
      </c>
      <c r="E415" s="298"/>
      <c r="F415" s="264"/>
      <c r="G415" s="128">
        <v>-4.96</v>
      </c>
      <c r="H415" s="305" t="s">
        <v>1333</v>
      </c>
      <c r="I415" s="138" t="str">
        <f t="shared" ref="I415:J415" si="419">IFS(AND($B415&lt;&gt;"",$E415&lt;&gt;""),IF(INDEX(N:N,MATCH($C415,$P:$P,0),1)&lt;&gt;"",$E415*INDEX(N:N,MATCH($C415,$P:$P,0),1)+$G415,""),AND($B415&lt;&gt;"",$D415="COST",$G415&lt;0),$G415,TRUE,)</f>
        <v/>
      </c>
      <c r="J415" s="138" t="str">
        <f t="shared" si="419"/>
        <v/>
      </c>
      <c r="K415" s="266" t="str">
        <f t="shared" si="3"/>
        <v>Vanguard Intermediate-Term Treasury ETF</v>
      </c>
      <c r="L415" s="156">
        <f t="shared" si="4"/>
        <v>0</v>
      </c>
      <c r="M415" s="156">
        <f t="shared" si="5"/>
        <v>-1817.48</v>
      </c>
      <c r="N415" s="155" t="str">
        <f>IF($P415&lt;&gt;"",IF(MAXIFS(Investment!$M:$M,Investment!$H:$H,LEFT($P415,30)&amp;"*"),MAXIFS(Investment!$M:$M,Investment!$H:$H,LEFT($P415,30)&amp;"*"),),)</f>
        <v/>
      </c>
      <c r="O415" s="158" t="str">
        <f>IF($P415&lt;&gt;"",IF(MAXIFS(Investment!$AH:$AH,Investment!$H:$H,LEFT($P415,30)&amp;"*"),MAXIFS(Investment!$AH:$AH,Investment!$H:$H,LEFT($P415,30)&amp;"*"),),)</f>
        <v/>
      </c>
      <c r="P415" s="141"/>
      <c r="Q415" s="156"/>
      <c r="R415" s="279"/>
    </row>
    <row r="416">
      <c r="A416" s="122">
        <v>43076.0</v>
      </c>
      <c r="B416" s="124" t="s">
        <v>364</v>
      </c>
      <c r="C416" s="130" t="s">
        <v>1256</v>
      </c>
      <c r="D416" s="298" t="s">
        <v>272</v>
      </c>
      <c r="E416" s="298"/>
      <c r="F416" s="264"/>
      <c r="G416" s="128">
        <v>32.39</v>
      </c>
      <c r="H416" s="305" t="s">
        <v>1334</v>
      </c>
      <c r="I416" s="138" t="str">
        <f t="shared" ref="I416:J416" si="420">IFS(AND($B416&lt;&gt;"",$E416&lt;&gt;""),IF(INDEX(N:N,MATCH($C416,$P:$P,0),1)&lt;&gt;"",$E416*INDEX(N:N,MATCH($C416,$P:$P,0),1)+$G416,""),AND($B416&lt;&gt;"",$D416="COST",$G416&lt;0),$G416,TRUE,)</f>
        <v/>
      </c>
      <c r="J416" s="138" t="str">
        <f t="shared" si="420"/>
        <v/>
      </c>
      <c r="K416" s="266" t="str">
        <f t="shared" si="3"/>
        <v>Vanguard Intermediate-Term Treasury ETF</v>
      </c>
      <c r="L416" s="156">
        <f t="shared" si="4"/>
        <v>0</v>
      </c>
      <c r="M416" s="156">
        <f t="shared" si="5"/>
        <v>-1817.48</v>
      </c>
      <c r="N416" s="155" t="str">
        <f>IF($P416&lt;&gt;"",IF(MAXIFS(Investment!$M:$M,Investment!$H:$H,LEFT($P416,30)&amp;"*"),MAXIFS(Investment!$M:$M,Investment!$H:$H,LEFT($P416,30)&amp;"*"),),)</f>
        <v/>
      </c>
      <c r="O416" s="158" t="str">
        <f>IF($P416&lt;&gt;"",IF(MAXIFS(Investment!$AH:$AH,Investment!$H:$H,LEFT($P416,30)&amp;"*"),MAXIFS(Investment!$AH:$AH,Investment!$H:$H,LEFT($P416,30)&amp;"*"),),)</f>
        <v/>
      </c>
      <c r="P416" s="141"/>
      <c r="Q416" s="156"/>
      <c r="R416" s="279"/>
    </row>
    <row r="417">
      <c r="A417" s="122">
        <v>43073.0</v>
      </c>
      <c r="B417" s="124"/>
      <c r="C417" s="130"/>
      <c r="D417" s="298" t="s">
        <v>378</v>
      </c>
      <c r="E417" s="298"/>
      <c r="F417" s="264"/>
      <c r="G417" s="128">
        <v>-102.08</v>
      </c>
      <c r="H417" s="305" t="s">
        <v>1335</v>
      </c>
      <c r="I417" s="138" t="str">
        <f t="shared" ref="I417:J417" si="421">IFS(AND($B417&lt;&gt;"",$E417&lt;&gt;""),IF(INDEX(N:N,MATCH($C417,$P:$P,0),1)&lt;&gt;"",$E417*INDEX(N:N,MATCH($C417,$P:$P,0),1)+$G417,""),AND($B417&lt;&gt;"",$D417="COST",$G417&lt;0),$G417,TRUE,)</f>
        <v/>
      </c>
      <c r="J417" s="138" t="str">
        <f t="shared" si="421"/>
        <v/>
      </c>
      <c r="K417" s="266" t="str">
        <f t="shared" si="3"/>
        <v/>
      </c>
      <c r="L417" s="156" t="str">
        <f t="shared" si="4"/>
        <v/>
      </c>
      <c r="M417" s="156" t="str">
        <f t="shared" si="5"/>
        <v/>
      </c>
      <c r="N417" s="155" t="str">
        <f>IF($P417&lt;&gt;"",IF(MAXIFS(Investment!$M:$M,Investment!$H:$H,LEFT($P417,30)&amp;"*"),MAXIFS(Investment!$M:$M,Investment!$H:$H,LEFT($P417,30)&amp;"*"),),)</f>
        <v/>
      </c>
      <c r="O417" s="158" t="str">
        <f>IF($P417&lt;&gt;"",IF(MAXIFS(Investment!$AH:$AH,Investment!$H:$H,LEFT($P417,30)&amp;"*"),MAXIFS(Investment!$AH:$AH,Investment!$H:$H,LEFT($P417,30)&amp;"*"),),)</f>
        <v/>
      </c>
      <c r="P417" s="141"/>
      <c r="Q417" s="156"/>
      <c r="R417" s="279"/>
    </row>
    <row r="418">
      <c r="A418" s="122">
        <v>43069.0</v>
      </c>
      <c r="B418" s="124"/>
      <c r="C418" s="130"/>
      <c r="D418" s="298" t="s">
        <v>312</v>
      </c>
      <c r="E418" s="298"/>
      <c r="F418" s="264"/>
      <c r="G418" s="128">
        <v>10000.0</v>
      </c>
      <c r="H418" s="305" t="s">
        <v>1336</v>
      </c>
      <c r="I418" s="138" t="str">
        <f t="shared" ref="I418:J418" si="422">IFS(AND($B418&lt;&gt;"",$E418&lt;&gt;""),IF(INDEX(N:N,MATCH($C418,$P:$P,0),1)&lt;&gt;"",$E418*INDEX(N:N,MATCH($C418,$P:$P,0),1)+$G418,""),AND($B418&lt;&gt;"",$D418="COST",$G418&lt;0),$G418,TRUE,)</f>
        <v/>
      </c>
      <c r="J418" s="138" t="str">
        <f t="shared" si="422"/>
        <v/>
      </c>
      <c r="K418" s="266" t="str">
        <f t="shared" si="3"/>
        <v/>
      </c>
      <c r="L418" s="156" t="str">
        <f t="shared" si="4"/>
        <v/>
      </c>
      <c r="M418" s="156" t="str">
        <f t="shared" si="5"/>
        <v/>
      </c>
      <c r="N418" s="155" t="str">
        <f>IF($P418&lt;&gt;"",IF(MAXIFS(Investment!$M:$M,Investment!$H:$H,LEFT($P418,30)&amp;"*"),MAXIFS(Investment!$M:$M,Investment!$H:$H,LEFT($P418,30)&amp;"*"),),)</f>
        <v/>
      </c>
      <c r="O418" s="158" t="str">
        <f>IF($P418&lt;&gt;"",IF(MAXIFS(Investment!$AH:$AH,Investment!$H:$H,LEFT($P418,30)&amp;"*"),MAXIFS(Investment!$AH:$AH,Investment!$H:$H,LEFT($P418,30)&amp;"*"),),)</f>
        <v/>
      </c>
      <c r="P418" s="141"/>
      <c r="Q418" s="156"/>
      <c r="R418" s="279"/>
    </row>
    <row r="419">
      <c r="A419" s="122">
        <v>43066.0</v>
      </c>
      <c r="B419" s="124" t="s">
        <v>268</v>
      </c>
      <c r="C419" s="130" t="s">
        <v>1196</v>
      </c>
      <c r="D419" s="298" t="s">
        <v>330</v>
      </c>
      <c r="E419" s="298">
        <v>10.0</v>
      </c>
      <c r="F419" s="264">
        <v>101.56</v>
      </c>
      <c r="G419" s="128">
        <v>-1015.59</v>
      </c>
      <c r="H419" s="305" t="s">
        <v>1337</v>
      </c>
      <c r="I419" s="138" t="str">
        <f t="shared" ref="I419:J419" si="423">IFS(AND($B419&lt;&gt;"",$E419&lt;&gt;""),IF(INDEX(N:N,MATCH($C419,$P:$P,0),1)&lt;&gt;"",$E419*INDEX(N:N,MATCH($C419,$P:$P,0),1)+$G419,""),AND($B419&lt;&gt;"",$D419="COST",$G419&lt;0),$G419,TRUE,)</f>
        <v/>
      </c>
      <c r="J419" s="138" t="str">
        <f t="shared" si="423"/>
        <v/>
      </c>
      <c r="K419" s="266" t="str">
        <f t="shared" si="3"/>
        <v>Vanguard Extended Duration Treasury ETF</v>
      </c>
      <c r="L419" s="156">
        <f t="shared" si="4"/>
        <v>0</v>
      </c>
      <c r="M419" s="156">
        <f t="shared" si="5"/>
        <v>-4941.36</v>
      </c>
      <c r="N419" s="155" t="str">
        <f>IF($P419&lt;&gt;"",IF(MAXIFS(Investment!$M:$M,Investment!$H:$H,LEFT($P419,30)&amp;"*"),MAXIFS(Investment!$M:$M,Investment!$H:$H,LEFT($P419,30)&amp;"*"),),)</f>
        <v/>
      </c>
      <c r="O419" s="158" t="str">
        <f>IF($P419&lt;&gt;"",IF(MAXIFS(Investment!$AH:$AH,Investment!$H:$H,LEFT($P419,30)&amp;"*"),MAXIFS(Investment!$AH:$AH,Investment!$H:$H,LEFT($P419,30)&amp;"*"),),)</f>
        <v/>
      </c>
      <c r="P419" s="141"/>
      <c r="Q419" s="156"/>
      <c r="R419" s="279"/>
    </row>
    <row r="420">
      <c r="A420" s="122">
        <v>43056.0</v>
      </c>
      <c r="B420" s="124"/>
      <c r="C420" s="130"/>
      <c r="D420" s="298" t="s">
        <v>312</v>
      </c>
      <c r="E420" s="298"/>
      <c r="F420" s="264"/>
      <c r="G420" s="128">
        <v>1000.0</v>
      </c>
      <c r="H420" s="305" t="s">
        <v>1338</v>
      </c>
      <c r="I420" s="138" t="str">
        <f t="shared" ref="I420:J420" si="424">IFS(AND($B420&lt;&gt;"",$E420&lt;&gt;""),IF(INDEX(N:N,MATCH($C420,$P:$P,0),1)&lt;&gt;"",$E420*INDEX(N:N,MATCH($C420,$P:$P,0),1)+$G420,""),AND($B420&lt;&gt;"",$D420="COST",$G420&lt;0),$G420,TRUE,)</f>
        <v/>
      </c>
      <c r="J420" s="138" t="str">
        <f t="shared" si="424"/>
        <v/>
      </c>
      <c r="K420" s="266" t="str">
        <f t="shared" si="3"/>
        <v/>
      </c>
      <c r="L420" s="156" t="str">
        <f t="shared" si="4"/>
        <v/>
      </c>
      <c r="M420" s="156" t="str">
        <f t="shared" si="5"/>
        <v/>
      </c>
      <c r="N420" s="155" t="str">
        <f>IF($P420&lt;&gt;"",IF(MAXIFS(Investment!$M:$M,Investment!$H:$H,LEFT($P420,30)&amp;"*"),MAXIFS(Investment!$M:$M,Investment!$H:$H,LEFT($P420,30)&amp;"*"),),)</f>
        <v/>
      </c>
      <c r="O420" s="158" t="str">
        <f>IF($P420&lt;&gt;"",IF(MAXIFS(Investment!$AH:$AH,Investment!$H:$H,LEFT($P420,30)&amp;"*"),MAXIFS(Investment!$AH:$AH,Investment!$H:$H,LEFT($P420,30)&amp;"*"),),)</f>
        <v/>
      </c>
      <c r="P420" s="141"/>
      <c r="Q420" s="156"/>
      <c r="R420" s="279"/>
    </row>
    <row r="421">
      <c r="A421" s="122">
        <v>43047.0</v>
      </c>
      <c r="B421" s="124" t="s">
        <v>364</v>
      </c>
      <c r="C421" s="130" t="s">
        <v>1256</v>
      </c>
      <c r="D421" s="298" t="s">
        <v>272</v>
      </c>
      <c r="E421" s="298"/>
      <c r="F421" s="264"/>
      <c r="G421" s="128">
        <v>-3.92</v>
      </c>
      <c r="H421" s="305" t="s">
        <v>1339</v>
      </c>
      <c r="I421" s="138" t="str">
        <f t="shared" ref="I421:J421" si="425">IFS(AND($B421&lt;&gt;"",$E421&lt;&gt;""),IF(INDEX(N:N,MATCH($C421,$P:$P,0),1)&lt;&gt;"",$E421*INDEX(N:N,MATCH($C421,$P:$P,0),1)+$G421,""),AND($B421&lt;&gt;"",$D421="COST",$G421&lt;0),$G421,TRUE,)</f>
        <v/>
      </c>
      <c r="J421" s="138" t="str">
        <f t="shared" si="425"/>
        <v/>
      </c>
      <c r="K421" s="266" t="str">
        <f t="shared" si="3"/>
        <v>Vanguard Intermediate-Term Treasury ETF</v>
      </c>
      <c r="L421" s="156">
        <f t="shared" si="4"/>
        <v>0</v>
      </c>
      <c r="M421" s="156">
        <f t="shared" si="5"/>
        <v>-1817.48</v>
      </c>
      <c r="N421" s="155" t="str">
        <f>IF($P421&lt;&gt;"",IF(MAXIFS(Investment!$M:$M,Investment!$H:$H,LEFT($P421,30)&amp;"*"),MAXIFS(Investment!$M:$M,Investment!$H:$H,LEFT($P421,30)&amp;"*"),),)</f>
        <v/>
      </c>
      <c r="O421" s="158" t="str">
        <f>IF($P421&lt;&gt;"",IF(MAXIFS(Investment!$AH:$AH,Investment!$H:$H,LEFT($P421,30)&amp;"*"),MAXIFS(Investment!$AH:$AH,Investment!$H:$H,LEFT($P421,30)&amp;"*"),),)</f>
        <v/>
      </c>
      <c r="P421" s="141"/>
      <c r="Q421" s="156"/>
      <c r="R421" s="279"/>
    </row>
    <row r="422">
      <c r="A422" s="122">
        <v>43046.0</v>
      </c>
      <c r="B422" s="124" t="s">
        <v>364</v>
      </c>
      <c r="C422" s="130" t="s">
        <v>1256</v>
      </c>
      <c r="D422" s="298" t="s">
        <v>272</v>
      </c>
      <c r="E422" s="298"/>
      <c r="F422" s="264"/>
      <c r="G422" s="128">
        <v>28.53</v>
      </c>
      <c r="H422" s="305" t="s">
        <v>1340</v>
      </c>
      <c r="I422" s="138" t="str">
        <f t="shared" ref="I422:J422" si="426">IFS(AND($B422&lt;&gt;"",$E422&lt;&gt;""),IF(INDEX(N:N,MATCH($C422,$P:$P,0),1)&lt;&gt;"",$E422*INDEX(N:N,MATCH($C422,$P:$P,0),1)+$G422,""),AND($B422&lt;&gt;"",$D422="COST",$G422&lt;0),$G422,TRUE,)</f>
        <v/>
      </c>
      <c r="J422" s="138" t="str">
        <f t="shared" si="426"/>
        <v/>
      </c>
      <c r="K422" s="266" t="str">
        <f t="shared" si="3"/>
        <v>Vanguard Intermediate-Term Treasury ETF</v>
      </c>
      <c r="L422" s="156">
        <f t="shared" si="4"/>
        <v>0</v>
      </c>
      <c r="M422" s="156">
        <f t="shared" si="5"/>
        <v>-1817.48</v>
      </c>
      <c r="N422" s="155" t="str">
        <f>IF($P422&lt;&gt;"",IF(MAXIFS(Investment!$M:$M,Investment!$H:$H,LEFT($P422,30)&amp;"*"),MAXIFS(Investment!$M:$M,Investment!$H:$H,LEFT($P422,30)&amp;"*"),),)</f>
        <v/>
      </c>
      <c r="O422" s="158" t="str">
        <f>IF($P422&lt;&gt;"",IF(MAXIFS(Investment!$AH:$AH,Investment!$H:$H,LEFT($P422,30)&amp;"*"),MAXIFS(Investment!$AH:$AH,Investment!$H:$H,LEFT($P422,30)&amp;"*"),),)</f>
        <v/>
      </c>
      <c r="P422" s="141"/>
      <c r="Q422" s="156"/>
      <c r="R422" s="279"/>
    </row>
    <row r="423">
      <c r="A423" s="122">
        <v>43046.0</v>
      </c>
      <c r="B423" s="124" t="s">
        <v>343</v>
      </c>
      <c r="C423" s="130" t="s">
        <v>344</v>
      </c>
      <c r="D423" s="298" t="s">
        <v>330</v>
      </c>
      <c r="E423" s="298">
        <v>48.0</v>
      </c>
      <c r="F423" s="264">
        <v>42.6</v>
      </c>
      <c r="G423" s="128">
        <v>-2044.75</v>
      </c>
      <c r="H423" s="305" t="s">
        <v>1341</v>
      </c>
      <c r="I423" s="138">
        <f t="shared" ref="I423:J423" si="427">IFS(AND($B423&lt;&gt;"",$E423&lt;&gt;""),IF(INDEX(N:N,MATCH($C423,$P:$P,0),1)&lt;&gt;"",$E423*INDEX(N:N,MATCH($C423,$P:$P,0),1)+$G423,""),AND($B423&lt;&gt;"",$D423="COST",$G423&lt;0),$G423,TRUE,)</f>
        <v>292.898</v>
      </c>
      <c r="J423" s="138">
        <f t="shared" si="427"/>
        <v>182.8925</v>
      </c>
      <c r="K423" s="266" t="str">
        <f t="shared" si="3"/>
        <v>Vanguard S&amp;P 500 UCITS</v>
      </c>
      <c r="L423" s="156">
        <f t="shared" si="4"/>
        <v>4293</v>
      </c>
      <c r="M423" s="156">
        <f t="shared" si="5"/>
        <v>-183260.93</v>
      </c>
      <c r="N423" s="155" t="str">
        <f>IF($P423&lt;&gt;"",IF(MAXIFS(Investment!$M:$M,Investment!$H:$H,LEFT($P423,30)&amp;"*"),MAXIFS(Investment!$M:$M,Investment!$H:$H,LEFT($P423,30)&amp;"*"),),)</f>
        <v/>
      </c>
      <c r="O423" s="158" t="str">
        <f>IF($P423&lt;&gt;"",IF(MAXIFS(Investment!$AH:$AH,Investment!$H:$H,LEFT($P423,30)&amp;"*"),MAXIFS(Investment!$AH:$AH,Investment!$H:$H,LEFT($P423,30)&amp;"*"),),)</f>
        <v/>
      </c>
      <c r="P423" s="141"/>
      <c r="Q423" s="156"/>
      <c r="R423" s="279"/>
    </row>
    <row r="424">
      <c r="A424" s="122">
        <v>43046.0</v>
      </c>
      <c r="B424" s="124" t="s">
        <v>364</v>
      </c>
      <c r="C424" s="130" t="s">
        <v>1256</v>
      </c>
      <c r="D424" s="298" t="s">
        <v>378</v>
      </c>
      <c r="E424" s="298"/>
      <c r="F424" s="264"/>
      <c r="G424" s="128">
        <v>-2.31</v>
      </c>
      <c r="H424" s="305" t="s">
        <v>1342</v>
      </c>
      <c r="I424" s="138">
        <f t="shared" ref="I424:J424" si="428">IFS(AND($B424&lt;&gt;"",$E424&lt;&gt;""),IF(INDEX(N:N,MATCH($C424,$P:$P,0),1)&lt;&gt;"",$E424*INDEX(N:N,MATCH($C424,$P:$P,0),1)+$G424,""),AND($B424&lt;&gt;"",$D424="COST",$G424&lt;0),$G424,TRUE,)</f>
        <v>-2.31</v>
      </c>
      <c r="J424" s="138">
        <f t="shared" si="428"/>
        <v>-2.31</v>
      </c>
      <c r="K424" s="266" t="str">
        <f t="shared" si="3"/>
        <v>Vanguard Intermediate-Term Treasury ETF</v>
      </c>
      <c r="L424" s="156">
        <f t="shared" si="4"/>
        <v>0</v>
      </c>
      <c r="M424" s="156">
        <f t="shared" si="5"/>
        <v>-1817.48</v>
      </c>
      <c r="N424" s="155" t="str">
        <f>IF($P424&lt;&gt;"",IF(MAXIFS(Investment!$M:$M,Investment!$H:$H,LEFT($P424,30)&amp;"*"),MAXIFS(Investment!$M:$M,Investment!$H:$H,LEFT($P424,30)&amp;"*"),),)</f>
        <v/>
      </c>
      <c r="O424" s="158" t="str">
        <f>IF($P424&lt;&gt;"",IF(MAXIFS(Investment!$AH:$AH,Investment!$H:$H,LEFT($P424,30)&amp;"*"),MAXIFS(Investment!$AH:$AH,Investment!$H:$H,LEFT($P424,30)&amp;"*"),),)</f>
        <v/>
      </c>
      <c r="P424" s="141"/>
      <c r="Q424" s="156"/>
      <c r="R424" s="279"/>
    </row>
    <row r="425">
      <c r="A425" s="122">
        <v>43046.0</v>
      </c>
      <c r="B425" s="124" t="s">
        <v>328</v>
      </c>
      <c r="C425" s="130" t="s">
        <v>329</v>
      </c>
      <c r="D425" s="298" t="s">
        <v>330</v>
      </c>
      <c r="E425" s="298">
        <v>132.0</v>
      </c>
      <c r="F425" s="264">
        <v>7.675</v>
      </c>
      <c r="G425" s="128">
        <v>-1013.1</v>
      </c>
      <c r="H425" s="305" t="s">
        <v>1343</v>
      </c>
      <c r="I425" s="138">
        <f t="shared" ref="I425:J425" si="429">IFS(AND($B425&lt;&gt;"",$E425&lt;&gt;""),IF(INDEX(N:N,MATCH($C425,$P:$P,0),1)&lt;&gt;"",$E425*INDEX(N:N,MATCH($C425,$P:$P,0),1)+$G425,""),AND($B425&lt;&gt;"",$D425="COST",$G425&lt;0),$G425,TRUE,)</f>
        <v>-62.436</v>
      </c>
      <c r="J425" s="138">
        <f t="shared" si="429"/>
        <v>-46.67901563</v>
      </c>
      <c r="K425" s="266" t="str">
        <f t="shared" si="3"/>
        <v>ETFS All Commodities ETC</v>
      </c>
      <c r="L425" s="156">
        <f t="shared" si="4"/>
        <v>11470</v>
      </c>
      <c r="M425" s="156">
        <f t="shared" si="5"/>
        <v>-83154.49</v>
      </c>
      <c r="N425" s="155" t="str">
        <f>IF($P425&lt;&gt;"",IF(MAXIFS(Investment!$M:$M,Investment!$H:$H,LEFT($P425,30)&amp;"*"),MAXIFS(Investment!$M:$M,Investment!$H:$H,LEFT($P425,30)&amp;"*"),),)</f>
        <v/>
      </c>
      <c r="O425" s="158" t="str">
        <f>IF($P425&lt;&gt;"",IF(MAXIFS(Investment!$AH:$AH,Investment!$H:$H,LEFT($P425,30)&amp;"*"),MAXIFS(Investment!$AH:$AH,Investment!$H:$H,LEFT($P425,30)&amp;"*"),),)</f>
        <v/>
      </c>
      <c r="P425" s="141"/>
      <c r="Q425" s="156"/>
      <c r="R425" s="279"/>
    </row>
    <row r="426">
      <c r="A426" s="122">
        <v>43046.0</v>
      </c>
      <c r="B426" s="124" t="s">
        <v>268</v>
      </c>
      <c r="C426" s="130" t="s">
        <v>1196</v>
      </c>
      <c r="D426" s="298" t="s">
        <v>330</v>
      </c>
      <c r="E426" s="298">
        <v>27.0</v>
      </c>
      <c r="F426" s="264">
        <v>103.66</v>
      </c>
      <c r="G426" s="128">
        <v>-2798.71</v>
      </c>
      <c r="H426" s="305" t="s">
        <v>1344</v>
      </c>
      <c r="I426" s="138" t="str">
        <f t="shared" ref="I426:J426" si="430">IFS(AND($B426&lt;&gt;"",$E426&lt;&gt;""),IF(INDEX(N:N,MATCH($C426,$P:$P,0),1)&lt;&gt;"",$E426*INDEX(N:N,MATCH($C426,$P:$P,0),1)+$G426,""),AND($B426&lt;&gt;"",$D426="COST",$G426&lt;0),$G426,TRUE,)</f>
        <v/>
      </c>
      <c r="J426" s="138" t="str">
        <f t="shared" si="430"/>
        <v/>
      </c>
      <c r="K426" s="266" t="str">
        <f t="shared" si="3"/>
        <v>Vanguard Extended Duration Treasury ETF</v>
      </c>
      <c r="L426" s="156">
        <f t="shared" si="4"/>
        <v>0</v>
      </c>
      <c r="M426" s="156">
        <f t="shared" si="5"/>
        <v>-4941.36</v>
      </c>
      <c r="N426" s="155" t="str">
        <f>IF($P426&lt;&gt;"",IF(MAXIFS(Investment!$M:$M,Investment!$H:$H,LEFT($P426,30)&amp;"*"),MAXIFS(Investment!$M:$M,Investment!$H:$H,LEFT($P426,30)&amp;"*"),),)</f>
        <v/>
      </c>
      <c r="O426" s="158" t="str">
        <f>IF($P426&lt;&gt;"",IF(MAXIFS(Investment!$AH:$AH,Investment!$H:$H,LEFT($P426,30)&amp;"*"),MAXIFS(Investment!$AH:$AH,Investment!$H:$H,LEFT($P426,30)&amp;"*"),),)</f>
        <v/>
      </c>
      <c r="P426" s="141"/>
      <c r="Q426" s="156"/>
      <c r="R426" s="279"/>
    </row>
    <row r="427">
      <c r="A427" s="122">
        <v>43046.0</v>
      </c>
      <c r="B427" s="124" t="s">
        <v>317</v>
      </c>
      <c r="C427" s="130" t="s">
        <v>1269</v>
      </c>
      <c r="D427" s="298" t="s">
        <v>330</v>
      </c>
      <c r="E427" s="298">
        <v>64.0</v>
      </c>
      <c r="F427" s="264">
        <v>10.63</v>
      </c>
      <c r="G427" s="128">
        <v>-680.11</v>
      </c>
      <c r="H427" s="305" t="s">
        <v>1345</v>
      </c>
      <c r="I427" s="138" t="str">
        <f t="shared" ref="I427:J427" si="431">IFS(AND($B427&lt;&gt;"",$E427&lt;&gt;""),IF(INDEX(N:N,MATCH($C427,$P:$P,0),1)&lt;&gt;"",$E427*INDEX(N:N,MATCH($C427,$P:$P,0),1)+$G427,""),AND($B427&lt;&gt;"",$D427="COST",$G427&lt;0),$G427,TRUE,)</f>
        <v/>
      </c>
      <c r="J427" s="138" t="str">
        <f t="shared" si="431"/>
        <v/>
      </c>
      <c r="K427" s="266" t="str">
        <f t="shared" si="3"/>
        <v>iShares Gold Trust</v>
      </c>
      <c r="L427" s="156">
        <f t="shared" si="4"/>
        <v>0</v>
      </c>
      <c r="M427" s="156">
        <f t="shared" si="5"/>
        <v>140.23</v>
      </c>
      <c r="N427" s="155" t="str">
        <f>IF($P427&lt;&gt;"",IF(MAXIFS(Investment!$M:$M,Investment!$H:$H,LEFT($P427,30)&amp;"*"),MAXIFS(Investment!$M:$M,Investment!$H:$H,LEFT($P427,30)&amp;"*"),),)</f>
        <v/>
      </c>
      <c r="O427" s="158" t="str">
        <f>IF($P427&lt;&gt;"",IF(MAXIFS(Investment!$AH:$AH,Investment!$H:$H,LEFT($P427,30)&amp;"*"),MAXIFS(Investment!$AH:$AH,Investment!$H:$H,LEFT($P427,30)&amp;"*"),),)</f>
        <v/>
      </c>
      <c r="P427" s="141"/>
      <c r="Q427" s="156"/>
      <c r="R427" s="279"/>
    </row>
    <row r="428">
      <c r="A428" s="122">
        <v>43046.0</v>
      </c>
      <c r="B428" s="124" t="s">
        <v>364</v>
      </c>
      <c r="C428" s="130" t="s">
        <v>1256</v>
      </c>
      <c r="D428" s="298" t="s">
        <v>330</v>
      </c>
      <c r="E428" s="298">
        <v>28.0</v>
      </c>
      <c r="F428" s="264">
        <v>55.76</v>
      </c>
      <c r="G428" s="128">
        <v>-1561.34</v>
      </c>
      <c r="H428" s="305" t="s">
        <v>1346</v>
      </c>
      <c r="I428" s="138" t="str">
        <f t="shared" ref="I428:J428" si="432">IFS(AND($B428&lt;&gt;"",$E428&lt;&gt;""),IF(INDEX(N:N,MATCH($C428,$P:$P,0),1)&lt;&gt;"",$E428*INDEX(N:N,MATCH($C428,$P:$P,0),1)+$G428,""),AND($B428&lt;&gt;"",$D428="COST",$G428&lt;0),$G428,TRUE,)</f>
        <v/>
      </c>
      <c r="J428" s="138" t="str">
        <f t="shared" si="432"/>
        <v/>
      </c>
      <c r="K428" s="266" t="str">
        <f t="shared" si="3"/>
        <v>Vanguard Intermediate-Term Treasury ETF</v>
      </c>
      <c r="L428" s="156">
        <f t="shared" si="4"/>
        <v>0</v>
      </c>
      <c r="M428" s="156">
        <f t="shared" si="5"/>
        <v>-1817.48</v>
      </c>
      <c r="N428" s="155" t="str">
        <f>IF($P428&lt;&gt;"",IF(MAXIFS(Investment!$M:$M,Investment!$H:$H,LEFT($P428,30)&amp;"*"),MAXIFS(Investment!$M:$M,Investment!$H:$H,LEFT($P428,30)&amp;"*"),),)</f>
        <v/>
      </c>
      <c r="O428" s="158" t="str">
        <f>IF($P428&lt;&gt;"",IF(MAXIFS(Investment!$AH:$AH,Investment!$H:$H,LEFT($P428,30)&amp;"*"),MAXIFS(Investment!$AH:$AH,Investment!$H:$H,LEFT($P428,30)&amp;"*"),),)</f>
        <v/>
      </c>
      <c r="P428" s="141"/>
      <c r="Q428" s="156"/>
      <c r="R428" s="279"/>
    </row>
    <row r="429">
      <c r="A429" s="122">
        <v>43041.0</v>
      </c>
      <c r="B429" s="124"/>
      <c r="C429" s="130"/>
      <c r="D429" s="298" t="s">
        <v>378</v>
      </c>
      <c r="E429" s="298"/>
      <c r="F429" s="264"/>
      <c r="G429" s="128">
        <v>-93.75</v>
      </c>
      <c r="H429" s="305" t="s">
        <v>1347</v>
      </c>
      <c r="I429" s="138" t="str">
        <f t="shared" ref="I429:J429" si="433">IFS(AND($B429&lt;&gt;"",$E429&lt;&gt;""),IF(INDEX(N:N,MATCH($C429,$P:$P,0),1)&lt;&gt;"",$E429*INDEX(N:N,MATCH($C429,$P:$P,0),1)+$G429,""),AND($B429&lt;&gt;"",$D429="COST",$G429&lt;0),$G429,TRUE,)</f>
        <v/>
      </c>
      <c r="J429" s="138" t="str">
        <f t="shared" si="433"/>
        <v/>
      </c>
      <c r="K429" s="266" t="str">
        <f t="shared" si="3"/>
        <v/>
      </c>
      <c r="L429" s="156" t="str">
        <f t="shared" si="4"/>
        <v/>
      </c>
      <c r="M429" s="156" t="str">
        <f t="shared" si="5"/>
        <v/>
      </c>
      <c r="N429" s="155" t="str">
        <f>IF($P429&lt;&gt;"",IF(MAXIFS(Investment!$M:$M,Investment!$H:$H,LEFT($P429,30)&amp;"*"),MAXIFS(Investment!$M:$M,Investment!$H:$H,LEFT($P429,30)&amp;"*"),),)</f>
        <v/>
      </c>
      <c r="O429" s="158" t="str">
        <f>IF($P429&lt;&gt;"",IF(MAXIFS(Investment!$AH:$AH,Investment!$H:$H,LEFT($P429,30)&amp;"*"),MAXIFS(Investment!$AH:$AH,Investment!$H:$H,LEFT($P429,30)&amp;"*"),),)</f>
        <v/>
      </c>
      <c r="P429" s="141"/>
      <c r="Q429" s="156"/>
      <c r="R429" s="279"/>
    </row>
    <row r="430">
      <c r="A430" s="122">
        <v>43015.0</v>
      </c>
      <c r="B430" s="124" t="s">
        <v>364</v>
      </c>
      <c r="C430" s="130" t="s">
        <v>1256</v>
      </c>
      <c r="D430" s="298" t="s">
        <v>272</v>
      </c>
      <c r="E430" s="298"/>
      <c r="F430" s="264"/>
      <c r="G430" s="128">
        <v>-4.5</v>
      </c>
      <c r="H430" s="305" t="s">
        <v>1348</v>
      </c>
      <c r="I430" s="138" t="str">
        <f t="shared" ref="I430:J430" si="434">IFS(AND($B430&lt;&gt;"",$E430&lt;&gt;""),IF(INDEX(N:N,MATCH($C430,$P:$P,0),1)&lt;&gt;"",$E430*INDEX(N:N,MATCH($C430,$P:$P,0),1)+$G430,""),AND($B430&lt;&gt;"",$D430="COST",$G430&lt;0),$G430,TRUE,)</f>
        <v/>
      </c>
      <c r="J430" s="138" t="str">
        <f t="shared" si="434"/>
        <v/>
      </c>
      <c r="K430" s="266" t="str">
        <f t="shared" si="3"/>
        <v>Vanguard Intermediate-Term Treasury ETF</v>
      </c>
      <c r="L430" s="156">
        <f t="shared" si="4"/>
        <v>0</v>
      </c>
      <c r="M430" s="156">
        <f t="shared" si="5"/>
        <v>-1817.48</v>
      </c>
      <c r="N430" s="155" t="str">
        <f>IF($P430&lt;&gt;"",IF(MAXIFS(Investment!$M:$M,Investment!$H:$H,LEFT($P430,30)&amp;"*"),MAXIFS(Investment!$M:$M,Investment!$H:$H,LEFT($P430,30)&amp;"*"),),)</f>
        <v/>
      </c>
      <c r="O430" s="158" t="str">
        <f>IF($P430&lt;&gt;"",IF(MAXIFS(Investment!$AH:$AH,Investment!$H:$H,LEFT($P430,30)&amp;"*"),MAXIFS(Investment!$AH:$AH,Investment!$H:$H,LEFT($P430,30)&amp;"*"),),)</f>
        <v/>
      </c>
      <c r="P430" s="141"/>
      <c r="Q430" s="156"/>
      <c r="R430" s="279"/>
    </row>
    <row r="431">
      <c r="A431" s="122">
        <v>43014.0</v>
      </c>
      <c r="B431" s="124" t="s">
        <v>343</v>
      </c>
      <c r="C431" s="130" t="s">
        <v>344</v>
      </c>
      <c r="D431" s="298" t="s">
        <v>272</v>
      </c>
      <c r="E431" s="298"/>
      <c r="F431" s="264"/>
      <c r="G431" s="128">
        <v>-26.14</v>
      </c>
      <c r="H431" s="305" t="s">
        <v>1349</v>
      </c>
      <c r="I431" s="138" t="str">
        <f t="shared" ref="I431:J431" si="435">IFS(AND($B431&lt;&gt;"",$E431&lt;&gt;""),IF(INDEX(N:N,MATCH($C431,$P:$P,0),1)&lt;&gt;"",$E431*INDEX(N:N,MATCH($C431,$P:$P,0),1)+$G431,""),AND($B431&lt;&gt;"",$D431="COST",$G431&lt;0),$G431,TRUE,)</f>
        <v/>
      </c>
      <c r="J431" s="138" t="str">
        <f t="shared" si="435"/>
        <v/>
      </c>
      <c r="K431" s="266" t="str">
        <f t="shared" si="3"/>
        <v>Vanguard S&amp;P 500 UCITS</v>
      </c>
      <c r="L431" s="156">
        <f t="shared" si="4"/>
        <v>4293</v>
      </c>
      <c r="M431" s="156">
        <f t="shared" si="5"/>
        <v>-183260.93</v>
      </c>
      <c r="N431" s="155" t="str">
        <f>IF($P431&lt;&gt;"",IF(MAXIFS(Investment!$M:$M,Investment!$H:$H,LEFT($P431,30)&amp;"*"),MAXIFS(Investment!$M:$M,Investment!$H:$H,LEFT($P431,30)&amp;"*"),),)</f>
        <v/>
      </c>
      <c r="O431" s="158" t="str">
        <f>IF($P431&lt;&gt;"",IF(MAXIFS(Investment!$AH:$AH,Investment!$H:$H,LEFT($P431,30)&amp;"*"),MAXIFS(Investment!$AH:$AH,Investment!$H:$H,LEFT($P431,30)&amp;"*"),),)</f>
        <v/>
      </c>
      <c r="P431" s="141"/>
      <c r="Q431" s="156"/>
      <c r="R431" s="279"/>
    </row>
    <row r="432">
      <c r="A432" s="122">
        <v>43014.0</v>
      </c>
      <c r="B432" s="124" t="s">
        <v>364</v>
      </c>
      <c r="C432" s="130" t="s">
        <v>1256</v>
      </c>
      <c r="D432" s="298" t="s">
        <v>272</v>
      </c>
      <c r="E432" s="298"/>
      <c r="F432" s="264"/>
      <c r="G432" s="128">
        <v>30.34</v>
      </c>
      <c r="H432" s="305" t="s">
        <v>1350</v>
      </c>
      <c r="I432" s="138" t="str">
        <f t="shared" ref="I432:J432" si="436">IFS(AND($B432&lt;&gt;"",$E432&lt;&gt;""),IF(INDEX(N:N,MATCH($C432,$P:$P,0),1)&lt;&gt;"",$E432*INDEX(N:N,MATCH($C432,$P:$P,0),1)+$G432,""),AND($B432&lt;&gt;"",$D432="COST",$G432&lt;0),$G432,TRUE,)</f>
        <v/>
      </c>
      <c r="J432" s="138" t="str">
        <f t="shared" si="436"/>
        <v/>
      </c>
      <c r="K432" s="266" t="str">
        <f t="shared" si="3"/>
        <v>Vanguard Intermediate-Term Treasury ETF</v>
      </c>
      <c r="L432" s="156">
        <f t="shared" si="4"/>
        <v>0</v>
      </c>
      <c r="M432" s="156">
        <f t="shared" si="5"/>
        <v>-1817.48</v>
      </c>
      <c r="N432" s="155" t="str">
        <f>IF($P432&lt;&gt;"",IF(MAXIFS(Investment!$M:$M,Investment!$H:$H,LEFT($P432,30)&amp;"*"),MAXIFS(Investment!$M:$M,Investment!$H:$H,LEFT($P432,30)&amp;"*"),),)</f>
        <v/>
      </c>
      <c r="O432" s="158" t="str">
        <f>IF($P432&lt;&gt;"",IF(MAXIFS(Investment!$AH:$AH,Investment!$H:$H,LEFT($P432,30)&amp;"*"),MAXIFS(Investment!$AH:$AH,Investment!$H:$H,LEFT($P432,30)&amp;"*"),),)</f>
        <v/>
      </c>
      <c r="P432" s="141"/>
      <c r="Q432" s="156"/>
      <c r="R432" s="279"/>
    </row>
    <row r="433">
      <c r="A433" s="122">
        <v>43013.0</v>
      </c>
      <c r="B433" s="124" t="s">
        <v>343</v>
      </c>
      <c r="C433" s="130" t="s">
        <v>344</v>
      </c>
      <c r="D433" s="298" t="s">
        <v>272</v>
      </c>
      <c r="E433" s="298"/>
      <c r="F433" s="264"/>
      <c r="G433" s="128">
        <v>178.2</v>
      </c>
      <c r="H433" s="305" t="s">
        <v>1351</v>
      </c>
      <c r="I433" s="138" t="str">
        <f t="shared" ref="I433:J433" si="437">IFS(AND($B433&lt;&gt;"",$E433&lt;&gt;""),IF(INDEX(N:N,MATCH($C433,$P:$P,0),1)&lt;&gt;"",$E433*INDEX(N:N,MATCH($C433,$P:$P,0),1)+$G433,""),AND($B433&lt;&gt;"",$D433="COST",$G433&lt;0),$G433,TRUE,)</f>
        <v/>
      </c>
      <c r="J433" s="138" t="str">
        <f t="shared" si="437"/>
        <v/>
      </c>
      <c r="K433" s="266" t="str">
        <f t="shared" si="3"/>
        <v>Vanguard S&amp;P 500 UCITS</v>
      </c>
      <c r="L433" s="156">
        <f t="shared" si="4"/>
        <v>4293</v>
      </c>
      <c r="M433" s="156">
        <f t="shared" si="5"/>
        <v>-183260.93</v>
      </c>
      <c r="N433" s="155" t="str">
        <f>IF($P433&lt;&gt;"",IF(MAXIFS(Investment!$M:$M,Investment!$H:$H,LEFT($P433,30)&amp;"*"),MAXIFS(Investment!$M:$M,Investment!$H:$H,LEFT($P433,30)&amp;"*"),),)</f>
        <v/>
      </c>
      <c r="O433" s="158" t="str">
        <f>IF($P433&lt;&gt;"",IF(MAXIFS(Investment!$AH:$AH,Investment!$H:$H,LEFT($P433,30)&amp;"*"),MAXIFS(Investment!$AH:$AH,Investment!$H:$H,LEFT($P433,30)&amp;"*"),),)</f>
        <v/>
      </c>
      <c r="P433" s="141"/>
      <c r="Q433" s="156"/>
      <c r="R433" s="279"/>
    </row>
    <row r="434">
      <c r="A434" s="122">
        <v>43012.0</v>
      </c>
      <c r="B434" s="124" t="s">
        <v>268</v>
      </c>
      <c r="C434" s="130" t="s">
        <v>1196</v>
      </c>
      <c r="D434" s="298" t="s">
        <v>272</v>
      </c>
      <c r="E434" s="298"/>
      <c r="F434" s="264"/>
      <c r="G434" s="128">
        <v>-54.04</v>
      </c>
      <c r="H434" s="305" t="s">
        <v>1352</v>
      </c>
      <c r="I434" s="138" t="str">
        <f t="shared" ref="I434:J434" si="438">IFS(AND($B434&lt;&gt;"",$E434&lt;&gt;""),IF(INDEX(N:N,MATCH($C434,$P:$P,0),1)&lt;&gt;"",$E434*INDEX(N:N,MATCH($C434,$P:$P,0),1)+$G434,""),AND($B434&lt;&gt;"",$D434="COST",$G434&lt;0),$G434,TRUE,)</f>
        <v/>
      </c>
      <c r="J434" s="138" t="str">
        <f t="shared" si="438"/>
        <v/>
      </c>
      <c r="K434" s="266" t="str">
        <f t="shared" si="3"/>
        <v>Vanguard Extended Duration Treasury ETF</v>
      </c>
      <c r="L434" s="156">
        <f t="shared" si="4"/>
        <v>0</v>
      </c>
      <c r="M434" s="156">
        <f t="shared" si="5"/>
        <v>-4941.36</v>
      </c>
      <c r="N434" s="155" t="str">
        <f>IF($P434&lt;&gt;"",IF(MAXIFS(Investment!$M:$M,Investment!$H:$H,LEFT($P434,30)&amp;"*"),MAXIFS(Investment!$M:$M,Investment!$H:$H,LEFT($P434,30)&amp;"*"),),)</f>
        <v/>
      </c>
      <c r="O434" s="158" t="str">
        <f>IF($P434&lt;&gt;"",IF(MAXIFS(Investment!$AH:$AH,Investment!$H:$H,LEFT($P434,30)&amp;"*"),MAXIFS(Investment!$AH:$AH,Investment!$H:$H,LEFT($P434,30)&amp;"*"),),)</f>
        <v/>
      </c>
      <c r="P434" s="141"/>
      <c r="Q434" s="156"/>
      <c r="R434" s="279"/>
    </row>
    <row r="435">
      <c r="A435" s="122">
        <v>43012.0</v>
      </c>
      <c r="B435" s="124" t="s">
        <v>364</v>
      </c>
      <c r="C435" s="130" t="s">
        <v>1256</v>
      </c>
      <c r="D435" s="298" t="s">
        <v>378</v>
      </c>
      <c r="E435" s="298"/>
      <c r="F435" s="264"/>
      <c r="G435" s="128">
        <v>-2.18</v>
      </c>
      <c r="H435" s="305" t="s">
        <v>1353</v>
      </c>
      <c r="I435" s="138">
        <f t="shared" ref="I435:J435" si="439">IFS(AND($B435&lt;&gt;"",$E435&lt;&gt;""),IF(INDEX(N:N,MATCH($C435,$P:$P,0),1)&lt;&gt;"",$E435*INDEX(N:N,MATCH($C435,$P:$P,0),1)+$G435,""),AND($B435&lt;&gt;"",$D435="COST",$G435&lt;0),$G435,TRUE,)</f>
        <v>-2.18</v>
      </c>
      <c r="J435" s="138">
        <f t="shared" si="439"/>
        <v>-2.18</v>
      </c>
      <c r="K435" s="266" t="str">
        <f t="shared" si="3"/>
        <v>Vanguard Intermediate-Term Treasury ETF</v>
      </c>
      <c r="L435" s="156">
        <f t="shared" si="4"/>
        <v>0</v>
      </c>
      <c r="M435" s="156">
        <f t="shared" si="5"/>
        <v>-1817.48</v>
      </c>
      <c r="N435" s="155" t="str">
        <f>IF($P435&lt;&gt;"",IF(MAXIFS(Investment!$M:$M,Investment!$H:$H,LEFT($P435,30)&amp;"*"),MAXIFS(Investment!$M:$M,Investment!$H:$H,LEFT($P435,30)&amp;"*"),),)</f>
        <v/>
      </c>
      <c r="O435" s="158" t="str">
        <f>IF($P435&lt;&gt;"",IF(MAXIFS(Investment!$AH:$AH,Investment!$H:$H,LEFT($P435,30)&amp;"*"),MAXIFS(Investment!$AH:$AH,Investment!$H:$H,LEFT($P435,30)&amp;"*"),),)</f>
        <v/>
      </c>
      <c r="P435" s="141"/>
      <c r="Q435" s="156"/>
      <c r="R435" s="279"/>
    </row>
    <row r="436">
      <c r="A436" s="122">
        <v>43012.0</v>
      </c>
      <c r="B436" s="124" t="s">
        <v>343</v>
      </c>
      <c r="C436" s="130" t="s">
        <v>344</v>
      </c>
      <c r="D436" s="298" t="s">
        <v>330</v>
      </c>
      <c r="E436" s="298">
        <v>25.0</v>
      </c>
      <c r="F436" s="264">
        <v>40.857</v>
      </c>
      <c r="G436" s="128">
        <v>-1021.42</v>
      </c>
      <c r="H436" s="305" t="s">
        <v>1354</v>
      </c>
      <c r="I436" s="138">
        <f t="shared" ref="I436:J436" si="440">IFS(AND($B436&lt;&gt;"",$E436&lt;&gt;""),IF(INDEX(N:N,MATCH($C436,$P:$P,0),1)&lt;&gt;"",$E436*INDEX(N:N,MATCH($C436,$P:$P,0),1)+$G436,""),AND($B436&lt;&gt;"",$D436="COST",$G436&lt;0),$G436,TRUE,)</f>
        <v>196.105</v>
      </c>
      <c r="J436" s="138">
        <f t="shared" si="440"/>
        <v>138.8104688</v>
      </c>
      <c r="K436" s="266" t="str">
        <f t="shared" si="3"/>
        <v>Vanguard S&amp;P 500 UCITS</v>
      </c>
      <c r="L436" s="156">
        <f t="shared" si="4"/>
        <v>4293</v>
      </c>
      <c r="M436" s="156">
        <f t="shared" si="5"/>
        <v>-183260.93</v>
      </c>
      <c r="N436" s="155" t="str">
        <f>IF($P436&lt;&gt;"",IF(MAXIFS(Investment!$M:$M,Investment!$H:$H,LEFT($P436,30)&amp;"*"),MAXIFS(Investment!$M:$M,Investment!$H:$H,LEFT($P436,30)&amp;"*"),),)</f>
        <v/>
      </c>
      <c r="O436" s="158" t="str">
        <f>IF($P436&lt;&gt;"",IF(MAXIFS(Investment!$AH:$AH,Investment!$H:$H,LEFT($P436,30)&amp;"*"),MAXIFS(Investment!$AH:$AH,Investment!$H:$H,LEFT($P436,30)&amp;"*"),),)</f>
        <v/>
      </c>
      <c r="P436" s="141"/>
      <c r="Q436" s="156"/>
      <c r="R436" s="279"/>
    </row>
    <row r="437">
      <c r="A437" s="122">
        <v>43012.0</v>
      </c>
      <c r="B437" s="124" t="s">
        <v>328</v>
      </c>
      <c r="C437" s="130" t="s">
        <v>329</v>
      </c>
      <c r="D437" s="298" t="s">
        <v>330</v>
      </c>
      <c r="E437" s="298">
        <v>174.0</v>
      </c>
      <c r="F437" s="264">
        <v>7.205</v>
      </c>
      <c r="G437" s="128">
        <v>-1253.67</v>
      </c>
      <c r="H437" s="305" t="s">
        <v>1355</v>
      </c>
      <c r="I437" s="138">
        <f t="shared" ref="I437:J437" si="441">IFS(AND($B437&lt;&gt;"",$E437&lt;&gt;""),IF(INDEX(N:N,MATCH($C437,$P:$P,0),1)&lt;&gt;"",$E437*INDEX(N:N,MATCH($C437,$P:$P,0),1)+$G437,""),AND($B437&lt;&gt;"",$D437="COST",$G437&lt;0),$G437,TRUE,)</f>
        <v>-0.522</v>
      </c>
      <c r="J437" s="138">
        <f t="shared" si="441"/>
        <v>20.24857031</v>
      </c>
      <c r="K437" s="266" t="str">
        <f t="shared" si="3"/>
        <v>ETFS All Commodities ETC</v>
      </c>
      <c r="L437" s="156">
        <f t="shared" si="4"/>
        <v>11470</v>
      </c>
      <c r="M437" s="156">
        <f t="shared" si="5"/>
        <v>-83154.49</v>
      </c>
      <c r="N437" s="155" t="str">
        <f>IF($P437&lt;&gt;"",IF(MAXIFS(Investment!$M:$M,Investment!$H:$H,LEFT($P437,30)&amp;"*"),MAXIFS(Investment!$M:$M,Investment!$H:$H,LEFT($P437,30)&amp;"*"),),)</f>
        <v/>
      </c>
      <c r="O437" s="158" t="str">
        <f>IF($P437&lt;&gt;"",IF(MAXIFS(Investment!$AH:$AH,Investment!$H:$H,LEFT($P437,30)&amp;"*"),MAXIFS(Investment!$AH:$AH,Investment!$H:$H,LEFT($P437,30)&amp;"*"),),)</f>
        <v/>
      </c>
      <c r="P437" s="141"/>
      <c r="Q437" s="156"/>
      <c r="R437" s="279"/>
    </row>
    <row r="438">
      <c r="A438" s="122">
        <v>43012.0</v>
      </c>
      <c r="B438" s="124" t="s">
        <v>268</v>
      </c>
      <c r="C438" s="130" t="s">
        <v>1196</v>
      </c>
      <c r="D438" s="298" t="s">
        <v>330</v>
      </c>
      <c r="E438" s="298">
        <v>37.0</v>
      </c>
      <c r="F438" s="264">
        <v>99.51</v>
      </c>
      <c r="G438" s="128">
        <v>-3682.04</v>
      </c>
      <c r="H438" s="305" t="s">
        <v>1356</v>
      </c>
      <c r="I438" s="138" t="str">
        <f t="shared" ref="I438:J438" si="442">IFS(AND($B438&lt;&gt;"",$E438&lt;&gt;""),IF(INDEX(N:N,MATCH($C438,$P:$P,0),1)&lt;&gt;"",$E438*INDEX(N:N,MATCH($C438,$P:$P,0),1)+$G438,""),AND($B438&lt;&gt;"",$D438="COST",$G438&lt;0),$G438,TRUE,)</f>
        <v/>
      </c>
      <c r="J438" s="138" t="str">
        <f t="shared" si="442"/>
        <v/>
      </c>
      <c r="K438" s="266" t="str">
        <f t="shared" si="3"/>
        <v>Vanguard Extended Duration Treasury ETF</v>
      </c>
      <c r="L438" s="156">
        <f t="shared" si="4"/>
        <v>0</v>
      </c>
      <c r="M438" s="156">
        <f t="shared" si="5"/>
        <v>-4941.36</v>
      </c>
      <c r="N438" s="155" t="str">
        <f>IF($P438&lt;&gt;"",IF(MAXIFS(Investment!$M:$M,Investment!$H:$H,LEFT($P438,30)&amp;"*"),MAXIFS(Investment!$M:$M,Investment!$H:$H,LEFT($P438,30)&amp;"*"),),)</f>
        <v/>
      </c>
      <c r="O438" s="158" t="str">
        <f>IF($P438&lt;&gt;"",IF(MAXIFS(Investment!$AH:$AH,Investment!$H:$H,LEFT($P438,30)&amp;"*"),MAXIFS(Investment!$AH:$AH,Investment!$H:$H,LEFT($P438,30)&amp;"*"),),)</f>
        <v/>
      </c>
      <c r="P438" s="141"/>
      <c r="Q438" s="156"/>
      <c r="R438" s="279"/>
    </row>
    <row r="439">
      <c r="A439" s="122">
        <v>43012.0</v>
      </c>
      <c r="B439" s="124" t="s">
        <v>317</v>
      </c>
      <c r="C439" s="130" t="s">
        <v>1269</v>
      </c>
      <c r="D439" s="298" t="s">
        <v>330</v>
      </c>
      <c r="E439" s="298">
        <v>147.0</v>
      </c>
      <c r="F439" s="264">
        <v>10.44</v>
      </c>
      <c r="G439" s="128">
        <v>-1534.32</v>
      </c>
      <c r="H439" s="305" t="s">
        <v>1357</v>
      </c>
      <c r="I439" s="138" t="str">
        <f t="shared" ref="I439:J439" si="443">IFS(AND($B439&lt;&gt;"",$E439&lt;&gt;""),IF(INDEX(N:N,MATCH($C439,$P:$P,0),1)&lt;&gt;"",$E439*INDEX(N:N,MATCH($C439,$P:$P,0),1)+$G439,""),AND($B439&lt;&gt;"",$D439="COST",$G439&lt;0),$G439,TRUE,)</f>
        <v/>
      </c>
      <c r="J439" s="138" t="str">
        <f t="shared" si="443"/>
        <v/>
      </c>
      <c r="K439" s="266" t="str">
        <f t="shared" si="3"/>
        <v>iShares Gold Trust</v>
      </c>
      <c r="L439" s="156">
        <f t="shared" si="4"/>
        <v>0</v>
      </c>
      <c r="M439" s="156">
        <f t="shared" si="5"/>
        <v>140.23</v>
      </c>
      <c r="N439" s="155" t="str">
        <f>IF($P439&lt;&gt;"",IF(MAXIFS(Investment!$M:$M,Investment!$H:$H,LEFT($P439,30)&amp;"*"),MAXIFS(Investment!$M:$M,Investment!$H:$H,LEFT($P439,30)&amp;"*"),),)</f>
        <v/>
      </c>
      <c r="O439" s="158" t="str">
        <f>IF($P439&lt;&gt;"",IF(MAXIFS(Investment!$AH:$AH,Investment!$H:$H,LEFT($P439,30)&amp;"*"),MAXIFS(Investment!$AH:$AH,Investment!$H:$H,LEFT($P439,30)&amp;"*"),),)</f>
        <v/>
      </c>
      <c r="P439" s="141"/>
      <c r="Q439" s="156"/>
      <c r="R439" s="279"/>
    </row>
    <row r="440">
      <c r="A440" s="122">
        <v>43012.0</v>
      </c>
      <c r="B440" s="124" t="s">
        <v>364</v>
      </c>
      <c r="C440" s="130" t="s">
        <v>1256</v>
      </c>
      <c r="D440" s="298" t="s">
        <v>330</v>
      </c>
      <c r="E440" s="298">
        <v>16.0</v>
      </c>
      <c r="F440" s="264">
        <v>55.01</v>
      </c>
      <c r="G440" s="128">
        <v>-880.09</v>
      </c>
      <c r="H440" s="305" t="s">
        <v>1358</v>
      </c>
      <c r="I440" s="138" t="str">
        <f t="shared" ref="I440:J440" si="444">IFS(AND($B440&lt;&gt;"",$E440&lt;&gt;""),IF(INDEX(N:N,MATCH($C440,$P:$P,0),1)&lt;&gt;"",$E440*INDEX(N:N,MATCH($C440,$P:$P,0),1)+$G440,""),AND($B440&lt;&gt;"",$D440="COST",$G440&lt;0),$G440,TRUE,)</f>
        <v/>
      </c>
      <c r="J440" s="138" t="str">
        <f t="shared" si="444"/>
        <v/>
      </c>
      <c r="K440" s="266" t="str">
        <f t="shared" si="3"/>
        <v>Vanguard Intermediate-Term Treasury ETF</v>
      </c>
      <c r="L440" s="156">
        <f t="shared" si="4"/>
        <v>0</v>
      </c>
      <c r="M440" s="156">
        <f t="shared" si="5"/>
        <v>-1817.48</v>
      </c>
      <c r="N440" s="155" t="str">
        <f>IF($P440&lt;&gt;"",IF(MAXIFS(Investment!$M:$M,Investment!$H:$H,LEFT($P440,30)&amp;"*"),MAXIFS(Investment!$M:$M,Investment!$H:$H,LEFT($P440,30)&amp;"*"),),)</f>
        <v/>
      </c>
      <c r="O440" s="158" t="str">
        <f>IF($P440&lt;&gt;"",IF(MAXIFS(Investment!$AH:$AH,Investment!$H:$H,LEFT($P440,30)&amp;"*"),MAXIFS(Investment!$AH:$AH,Investment!$H:$H,LEFT($P440,30)&amp;"*"),),)</f>
        <v/>
      </c>
      <c r="P440" s="141"/>
      <c r="Q440" s="156"/>
      <c r="R440" s="279"/>
    </row>
    <row r="441">
      <c r="A441" s="122">
        <v>43011.0</v>
      </c>
      <c r="B441" s="124" t="s">
        <v>268</v>
      </c>
      <c r="C441" s="130" t="s">
        <v>1196</v>
      </c>
      <c r="D441" s="298" t="s">
        <v>272</v>
      </c>
      <c r="E441" s="298"/>
      <c r="F441" s="264"/>
      <c r="G441" s="128">
        <v>359.13</v>
      </c>
      <c r="H441" s="305" t="s">
        <v>1359</v>
      </c>
      <c r="I441" s="138" t="str">
        <f t="shared" ref="I441:J441" si="445">IFS(AND($B441&lt;&gt;"",$E441&lt;&gt;""),IF(INDEX(N:N,MATCH($C441,$P:$P,0),1)&lt;&gt;"",$E441*INDEX(N:N,MATCH($C441,$P:$P,0),1)+$G441,""),AND($B441&lt;&gt;"",$D441="COST",$G441&lt;0),$G441,TRUE,)</f>
        <v/>
      </c>
      <c r="J441" s="138" t="str">
        <f t="shared" si="445"/>
        <v/>
      </c>
      <c r="K441" s="266" t="str">
        <f t="shared" si="3"/>
        <v>Vanguard Extended Duration Treasury ETF</v>
      </c>
      <c r="L441" s="156">
        <f t="shared" si="4"/>
        <v>0</v>
      </c>
      <c r="M441" s="156">
        <f t="shared" si="5"/>
        <v>-4941.36</v>
      </c>
      <c r="N441" s="155" t="str">
        <f>IF($P441&lt;&gt;"",IF(MAXIFS(Investment!$M:$M,Investment!$H:$H,LEFT($P441,30)&amp;"*"),MAXIFS(Investment!$M:$M,Investment!$H:$H,LEFT($P441,30)&amp;"*"),),)</f>
        <v/>
      </c>
      <c r="O441" s="158" t="str">
        <f>IF($P441&lt;&gt;"",IF(MAXIFS(Investment!$AH:$AH,Investment!$H:$H,LEFT($P441,30)&amp;"*"),MAXIFS(Investment!$AH:$AH,Investment!$H:$H,LEFT($P441,30)&amp;"*"),),)</f>
        <v/>
      </c>
      <c r="P441" s="141"/>
      <c r="Q441" s="156"/>
      <c r="R441" s="279"/>
    </row>
    <row r="442">
      <c r="A442" s="122">
        <v>43011.0</v>
      </c>
      <c r="B442" s="124"/>
      <c r="C442" s="130"/>
      <c r="D442" s="298" t="s">
        <v>378</v>
      </c>
      <c r="E442" s="298"/>
      <c r="F442" s="264"/>
      <c r="G442" s="128">
        <v>-86.11</v>
      </c>
      <c r="H442" s="305" t="s">
        <v>1360</v>
      </c>
      <c r="I442" s="138" t="str">
        <f t="shared" ref="I442:J442" si="446">IFS(AND($B442&lt;&gt;"",$E442&lt;&gt;""),IF(INDEX(N:N,MATCH($C442,$P:$P,0),1)&lt;&gt;"",$E442*INDEX(N:N,MATCH($C442,$P:$P,0),1)+$G442,""),AND($B442&lt;&gt;"",$D442="COST",$G442&lt;0),$G442,TRUE,)</f>
        <v/>
      </c>
      <c r="J442" s="138" t="str">
        <f t="shared" si="446"/>
        <v/>
      </c>
      <c r="K442" s="266" t="str">
        <f t="shared" si="3"/>
        <v/>
      </c>
      <c r="L442" s="156" t="str">
        <f t="shared" si="4"/>
        <v/>
      </c>
      <c r="M442" s="156" t="str">
        <f t="shared" si="5"/>
        <v/>
      </c>
      <c r="N442" s="155" t="str">
        <f>IF($P442&lt;&gt;"",IF(MAXIFS(Investment!$M:$M,Investment!$H:$H,LEFT($P442,30)&amp;"*"),MAXIFS(Investment!$M:$M,Investment!$H:$H,LEFT($P442,30)&amp;"*"),),)</f>
        <v/>
      </c>
      <c r="O442" s="158" t="str">
        <f>IF($P442&lt;&gt;"",IF(MAXIFS(Investment!$AH:$AH,Investment!$H:$H,LEFT($P442,30)&amp;"*"),MAXIFS(Investment!$AH:$AH,Investment!$H:$H,LEFT($P442,30)&amp;"*"),),)</f>
        <v/>
      </c>
      <c r="P442" s="141"/>
      <c r="Q442" s="156"/>
      <c r="R442" s="279"/>
    </row>
    <row r="443">
      <c r="A443" s="122">
        <v>43009.0</v>
      </c>
      <c r="B443" s="156"/>
      <c r="C443" s="306"/>
      <c r="D443" s="301" t="s">
        <v>312</v>
      </c>
      <c r="E443" s="301"/>
      <c r="F443" s="264"/>
      <c r="G443" s="128">
        <v>-2000.0</v>
      </c>
      <c r="H443" s="307" t="s">
        <v>1361</v>
      </c>
      <c r="I443" s="138" t="str">
        <f t="shared" ref="I443:J443" si="447">IFS(AND($B443&lt;&gt;"",$E443&lt;&gt;""),IF(INDEX(N:N,MATCH($C443,$P:$P,0),1)&lt;&gt;"",$E443*INDEX(N:N,MATCH($C443,$P:$P,0),1)+$G443,""),AND($B443&lt;&gt;"",$D443="COST",$G443&lt;0),$G443,TRUE,)</f>
        <v/>
      </c>
      <c r="J443" s="138" t="str">
        <f t="shared" si="447"/>
        <v/>
      </c>
      <c r="K443" s="266" t="str">
        <f t="shared" si="3"/>
        <v/>
      </c>
      <c r="L443" s="156" t="str">
        <f t="shared" si="4"/>
        <v/>
      </c>
      <c r="M443" s="156" t="str">
        <f t="shared" si="5"/>
        <v/>
      </c>
      <c r="N443" s="155" t="str">
        <f>IF($P443&lt;&gt;"",IF(MAXIFS(Investment!$M:$M,Investment!$H:$H,LEFT($P443,30)&amp;"*"),MAXIFS(Investment!$M:$M,Investment!$H:$H,LEFT($P443,30)&amp;"*"),),)</f>
        <v/>
      </c>
      <c r="O443" s="158" t="str">
        <f>IF($P443&lt;&gt;"",IF(MAXIFS(Investment!$AH:$AH,Investment!$H:$H,LEFT($P443,30)&amp;"*"),MAXIFS(Investment!$AH:$AH,Investment!$H:$H,LEFT($P443,30)&amp;"*"),),)</f>
        <v/>
      </c>
      <c r="P443" s="141"/>
      <c r="Q443" s="156"/>
      <c r="R443" s="279"/>
    </row>
    <row r="444">
      <c r="A444" s="122">
        <v>42996.0</v>
      </c>
      <c r="B444" s="124" t="s">
        <v>343</v>
      </c>
      <c r="C444" s="130" t="s">
        <v>344</v>
      </c>
      <c r="D444" s="298" t="s">
        <v>330</v>
      </c>
      <c r="E444" s="298">
        <v>72.0</v>
      </c>
      <c r="F444" s="264">
        <v>39.983</v>
      </c>
      <c r="G444" s="128">
        <v>-2878.78</v>
      </c>
      <c r="H444" s="305" t="s">
        <v>1362</v>
      </c>
      <c r="I444" s="138">
        <f t="shared" ref="I444:J444" si="448">IFS(AND($B444&lt;&gt;"",$E444&lt;&gt;""),IF(INDEX(N:N,MATCH($C444,$P:$P,0),1)&lt;&gt;"",$E444*INDEX(N:N,MATCH($C444,$P:$P,0),1)+$G444,""),AND($B444&lt;&gt;"",$D444="COST",$G444&lt;0),$G444,TRUE,)</f>
        <v>627.692</v>
      </c>
      <c r="J444" s="138">
        <f t="shared" si="448"/>
        <v>462.68375</v>
      </c>
      <c r="K444" s="266" t="str">
        <f t="shared" si="3"/>
        <v>Vanguard S&amp;P 500 UCITS</v>
      </c>
      <c r="L444" s="156">
        <f t="shared" si="4"/>
        <v>4293</v>
      </c>
      <c r="M444" s="156">
        <f t="shared" si="5"/>
        <v>-183260.93</v>
      </c>
      <c r="N444" s="155" t="str">
        <f>IF($P444&lt;&gt;"",IF(MAXIFS(Investment!$M:$M,Investment!$H:$H,LEFT($P444,30)&amp;"*"),MAXIFS(Investment!$M:$M,Investment!$H:$H,LEFT($P444,30)&amp;"*"),),)</f>
        <v/>
      </c>
      <c r="O444" s="158" t="str">
        <f>IF($P444&lt;&gt;"",IF(MAXIFS(Investment!$AH:$AH,Investment!$H:$H,LEFT($P444,30)&amp;"*"),MAXIFS(Investment!$AH:$AH,Investment!$H:$H,LEFT($P444,30)&amp;"*"),),)</f>
        <v/>
      </c>
      <c r="P444" s="141"/>
      <c r="Q444" s="156"/>
      <c r="R444" s="279"/>
    </row>
    <row r="445">
      <c r="A445" s="122">
        <v>42993.0</v>
      </c>
      <c r="B445" s="55" t="s">
        <v>268</v>
      </c>
      <c r="C445" s="304" t="s">
        <v>1196</v>
      </c>
      <c r="D445" s="50" t="s">
        <v>330</v>
      </c>
      <c r="E445" s="50">
        <v>40.0</v>
      </c>
      <c r="F445" s="264">
        <v>101.03</v>
      </c>
      <c r="G445" s="128">
        <v>-4041.23</v>
      </c>
      <c r="H445" s="308" t="s">
        <v>1363</v>
      </c>
      <c r="I445" s="138" t="str">
        <f t="shared" ref="I445:J445" si="449">IFS(AND($B445&lt;&gt;"",$E445&lt;&gt;""),IF(INDEX(N:N,MATCH($C445,$P:$P,0),1)&lt;&gt;"",$E445*INDEX(N:N,MATCH($C445,$P:$P,0),1)+$G445,""),AND($B445&lt;&gt;"",$D445="COST",$G445&lt;0),$G445,TRUE,)</f>
        <v/>
      </c>
      <c r="J445" s="138" t="str">
        <f t="shared" si="449"/>
        <v/>
      </c>
      <c r="K445" s="266" t="str">
        <f t="shared" si="3"/>
        <v>Vanguard Extended Duration Treasury ETF</v>
      </c>
      <c r="L445" s="156">
        <f t="shared" si="4"/>
        <v>0</v>
      </c>
      <c r="M445" s="156">
        <f t="shared" si="5"/>
        <v>-4941.36</v>
      </c>
      <c r="N445" s="155" t="str">
        <f>IF($P445&lt;&gt;"",IF(MAXIFS(Investment!$M:$M,Investment!$H:$H,LEFT($P445,30)&amp;"*"),MAXIFS(Investment!$M:$M,Investment!$H:$H,LEFT($P445,30)&amp;"*"),),)</f>
        <v/>
      </c>
      <c r="O445" s="158" t="str">
        <f>IF($P445&lt;&gt;"",IF(MAXIFS(Investment!$AH:$AH,Investment!$H:$H,LEFT($P445,30)&amp;"*"),MAXIFS(Investment!$AH:$AH,Investment!$H:$H,LEFT($P445,30)&amp;"*"),),)</f>
        <v/>
      </c>
      <c r="P445" s="141"/>
      <c r="Q445" s="156"/>
      <c r="R445" s="279"/>
    </row>
    <row r="446">
      <c r="A446" s="122">
        <v>42993.0</v>
      </c>
      <c r="B446" s="55" t="s">
        <v>364</v>
      </c>
      <c r="C446" s="304" t="s">
        <v>1256</v>
      </c>
      <c r="D446" s="50" t="s">
        <v>378</v>
      </c>
      <c r="E446" s="50"/>
      <c r="F446" s="264"/>
      <c r="G446" s="128">
        <v>-2.32</v>
      </c>
      <c r="H446" s="308" t="s">
        <v>1364</v>
      </c>
      <c r="I446" s="138">
        <f t="shared" ref="I446:J446" si="450">IFS(AND($B446&lt;&gt;"",$E446&lt;&gt;""),IF(INDEX(N:N,MATCH($C446,$P:$P,0),1)&lt;&gt;"",$E446*INDEX(N:N,MATCH($C446,$P:$P,0),1)+$G446,""),AND($B446&lt;&gt;"",$D446="COST",$G446&lt;0),$G446,TRUE,)</f>
        <v>-2.32</v>
      </c>
      <c r="J446" s="138">
        <f t="shared" si="450"/>
        <v>-2.32</v>
      </c>
      <c r="K446" s="266" t="str">
        <f t="shared" si="3"/>
        <v>Vanguard Intermediate-Term Treasury ETF</v>
      </c>
      <c r="L446" s="156">
        <f t="shared" si="4"/>
        <v>0</v>
      </c>
      <c r="M446" s="156">
        <f t="shared" si="5"/>
        <v>-1817.48</v>
      </c>
      <c r="N446" s="155" t="str">
        <f>IF($P446&lt;&gt;"",IF(MAXIFS(Investment!$M:$M,Investment!$H:$H,LEFT($P446,30)&amp;"*"),MAXIFS(Investment!$M:$M,Investment!$H:$H,LEFT($P446,30)&amp;"*"),),)</f>
        <v/>
      </c>
      <c r="O446" s="158" t="str">
        <f>IF($P446&lt;&gt;"",IF(MAXIFS(Investment!$AH:$AH,Investment!$H:$H,LEFT($P446,30)&amp;"*"),MAXIFS(Investment!$AH:$AH,Investment!$H:$H,LEFT($P446,30)&amp;"*"),),)</f>
        <v/>
      </c>
      <c r="P446" s="299"/>
      <c r="R446" s="52"/>
    </row>
    <row r="447">
      <c r="A447" s="122">
        <v>42993.0</v>
      </c>
      <c r="B447" s="55" t="s">
        <v>364</v>
      </c>
      <c r="C447" s="304" t="s">
        <v>1256</v>
      </c>
      <c r="D447" s="50" t="s">
        <v>330</v>
      </c>
      <c r="E447" s="50">
        <v>29.0</v>
      </c>
      <c r="F447" s="264">
        <v>54.53</v>
      </c>
      <c r="G447" s="128">
        <v>-1581.45</v>
      </c>
      <c r="H447" s="308" t="s">
        <v>1365</v>
      </c>
      <c r="I447" s="138" t="str">
        <f t="shared" ref="I447:J447" si="451">IFS(AND($B447&lt;&gt;"",$E447&lt;&gt;""),IF(INDEX(N:N,MATCH($C447,$P:$P,0),1)&lt;&gt;"",$E447*INDEX(N:N,MATCH($C447,$P:$P,0),1)+$G447,""),AND($B447&lt;&gt;"",$D447="COST",$G447&lt;0),$G447,TRUE,)</f>
        <v/>
      </c>
      <c r="J447" s="138" t="str">
        <f t="shared" si="451"/>
        <v/>
      </c>
      <c r="K447" s="266" t="str">
        <f t="shared" si="3"/>
        <v>Vanguard Intermediate-Term Treasury ETF</v>
      </c>
      <c r="L447" s="156">
        <f t="shared" si="4"/>
        <v>0</v>
      </c>
      <c r="M447" s="156">
        <f t="shared" si="5"/>
        <v>-1817.48</v>
      </c>
      <c r="N447" s="155" t="str">
        <f>IF($P447&lt;&gt;"",IF(MAXIFS(Investment!$M:$M,Investment!$H:$H,LEFT($P447,30)&amp;"*"),MAXIFS(Investment!$M:$M,Investment!$H:$H,LEFT($P447,30)&amp;"*"),),)</f>
        <v/>
      </c>
      <c r="O447" s="158" t="str">
        <f>IF($P447&lt;&gt;"",IF(MAXIFS(Investment!$AH:$AH,Investment!$H:$H,LEFT($P447,30)&amp;"*"),MAXIFS(Investment!$AH:$AH,Investment!$H:$H,LEFT($P447,30)&amp;"*"),),)</f>
        <v/>
      </c>
      <c r="P447" s="299"/>
      <c r="R447" s="52"/>
    </row>
    <row r="448">
      <c r="A448" s="122">
        <v>42993.0</v>
      </c>
      <c r="C448" s="48"/>
      <c r="D448" s="50" t="s">
        <v>312</v>
      </c>
      <c r="E448" s="50"/>
      <c r="F448" s="264"/>
      <c r="G448" s="128">
        <v>8500.0</v>
      </c>
      <c r="H448" s="308" t="s">
        <v>1366</v>
      </c>
      <c r="I448" s="138" t="str">
        <f t="shared" ref="I448:J448" si="452">IFS(AND($B448&lt;&gt;"",$E448&lt;&gt;""),IF(INDEX(N:N,MATCH($C448,$P:$P,0),1)&lt;&gt;"",$E448*INDEX(N:N,MATCH($C448,$P:$P,0),1)+$G448,""),AND($B448&lt;&gt;"",$D448="COST",$G448&lt;0),$G448,TRUE,)</f>
        <v/>
      </c>
      <c r="J448" s="138" t="str">
        <f t="shared" si="452"/>
        <v/>
      </c>
      <c r="K448" s="266" t="str">
        <f t="shared" si="3"/>
        <v/>
      </c>
      <c r="L448" s="156" t="str">
        <f t="shared" si="4"/>
        <v/>
      </c>
      <c r="M448" s="156" t="str">
        <f t="shared" si="5"/>
        <v/>
      </c>
      <c r="N448" s="155" t="str">
        <f>IF($P448&lt;&gt;"",IF(MAXIFS(Investment!$M:$M,Investment!$H:$H,LEFT($P448,30)&amp;"*"),MAXIFS(Investment!$M:$M,Investment!$H:$H,LEFT($P448,30)&amp;"*"),),)</f>
        <v/>
      </c>
      <c r="O448" s="158" t="str">
        <f>IF($P448&lt;&gt;"",IF(MAXIFS(Investment!$AH:$AH,Investment!$H:$H,LEFT($P448,30)&amp;"*"),MAXIFS(Investment!$AH:$AH,Investment!$H:$H,LEFT($P448,30)&amp;"*"),),)</f>
        <v/>
      </c>
      <c r="P448" s="299"/>
      <c r="R448" s="52"/>
    </row>
    <row r="449">
      <c r="A449" s="122">
        <v>42992.0</v>
      </c>
      <c r="C449" s="48"/>
      <c r="D449" s="49" t="s">
        <v>312</v>
      </c>
      <c r="E449" s="50" t="s">
        <v>1367</v>
      </c>
      <c r="F449" s="264" t="s">
        <v>1367</v>
      </c>
      <c r="G449" s="128">
        <v>-30.0</v>
      </c>
      <c r="H449" s="309" t="s">
        <v>1368</v>
      </c>
      <c r="I449" s="138" t="str">
        <f t="shared" ref="I449:J449" si="453">IFS(AND($B449&lt;&gt;"",$E449&lt;&gt;""),IF(INDEX(N:N,MATCH($C449,$P:$P,0),1)&lt;&gt;"",$E449*INDEX(N:N,MATCH($C449,$P:$P,0),1)+$G449,""),AND($B449&lt;&gt;"",$D449="COST",$G449&lt;0),$G449,TRUE,)</f>
        <v/>
      </c>
      <c r="J449" s="138" t="str">
        <f t="shared" si="453"/>
        <v/>
      </c>
      <c r="K449" s="266" t="str">
        <f t="shared" si="3"/>
        <v/>
      </c>
      <c r="L449" s="156" t="str">
        <f t="shared" si="4"/>
        <v/>
      </c>
      <c r="M449" s="156" t="str">
        <f t="shared" si="5"/>
        <v/>
      </c>
      <c r="N449" s="155" t="str">
        <f>IF($P449&lt;&gt;"",IF(MAXIFS(Investment!$M:$M,Investment!$H:$H,LEFT($P449,30)&amp;"*"),MAXIFS(Investment!$M:$M,Investment!$H:$H,LEFT($P449,30)&amp;"*"),),)</f>
        <v/>
      </c>
      <c r="O449" s="158" t="str">
        <f>IF($P449&lt;&gt;"",IF(MAXIFS(Investment!$AH:$AH,Investment!$H:$H,LEFT($P449,30)&amp;"*"),MAXIFS(Investment!$AH:$AH,Investment!$H:$H,LEFT($P449,30)&amp;"*"),),)</f>
        <v/>
      </c>
      <c r="P449" s="299"/>
      <c r="R449" s="52"/>
    </row>
    <row r="450">
      <c r="A450" s="122">
        <v>42988.0</v>
      </c>
      <c r="B450" s="124" t="s">
        <v>364</v>
      </c>
      <c r="C450" s="130" t="s">
        <v>1256</v>
      </c>
      <c r="D450" s="298" t="s">
        <v>272</v>
      </c>
      <c r="E450" s="298"/>
      <c r="F450" s="264"/>
      <c r="G450" s="128">
        <v>-4.0</v>
      </c>
      <c r="H450" s="305" t="s">
        <v>1369</v>
      </c>
      <c r="I450" s="138" t="str">
        <f t="shared" ref="I450:J450" si="454">IFS(AND($B450&lt;&gt;"",$E450&lt;&gt;""),IF(INDEX(N:N,MATCH($C450,$P:$P,0),1)&lt;&gt;"",$E450*INDEX(N:N,MATCH($C450,$P:$P,0),1)+$G450,""),AND($B450&lt;&gt;"",$D450="COST",$G450&lt;0),$G450,TRUE,)</f>
        <v/>
      </c>
      <c r="J450" s="138" t="str">
        <f t="shared" si="454"/>
        <v/>
      </c>
      <c r="K450" s="266" t="str">
        <f t="shared" si="3"/>
        <v>Vanguard Intermediate-Term Treasury ETF</v>
      </c>
      <c r="L450" s="156">
        <f t="shared" si="4"/>
        <v>0</v>
      </c>
      <c r="M450" s="156">
        <f t="shared" si="5"/>
        <v>-1817.48</v>
      </c>
      <c r="N450" s="155" t="str">
        <f>IF($P450&lt;&gt;"",IF(MAXIFS(Investment!$M:$M,Investment!$H:$H,LEFT($P450,30)&amp;"*"),MAXIFS(Investment!$M:$M,Investment!$H:$H,LEFT($P450,30)&amp;"*"),),)</f>
        <v/>
      </c>
      <c r="O450" s="158" t="str">
        <f>IF($P450&lt;&gt;"",IF(MAXIFS(Investment!$AH:$AH,Investment!$H:$H,LEFT($P450,30)&amp;"*"),MAXIFS(Investment!$AH:$AH,Investment!$H:$H,LEFT($P450,30)&amp;"*"),),)</f>
        <v/>
      </c>
      <c r="P450" s="299"/>
      <c r="R450" s="52"/>
    </row>
    <row r="451">
      <c r="A451" s="122">
        <v>42987.0</v>
      </c>
      <c r="B451" s="124" t="s">
        <v>364</v>
      </c>
      <c r="C451" s="130" t="s">
        <v>1256</v>
      </c>
      <c r="D451" s="298" t="s">
        <v>272</v>
      </c>
      <c r="E451" s="298"/>
      <c r="F451" s="264"/>
      <c r="G451" s="128">
        <v>23.49</v>
      </c>
      <c r="H451" s="305" t="s">
        <v>1370</v>
      </c>
      <c r="I451" s="138" t="str">
        <f t="shared" ref="I451:J451" si="455">IFS(AND($B451&lt;&gt;"",$E451&lt;&gt;""),IF(INDEX(N:N,MATCH($C451,$P:$P,0),1)&lt;&gt;"",$E451*INDEX(N:N,MATCH($C451,$P:$P,0),1)+$G451,""),AND($B451&lt;&gt;"",$D451="COST",$G451&lt;0),$G451,TRUE,)</f>
        <v/>
      </c>
      <c r="J451" s="138" t="str">
        <f t="shared" si="455"/>
        <v/>
      </c>
      <c r="K451" s="266" t="str">
        <f t="shared" si="3"/>
        <v>Vanguard Intermediate-Term Treasury ETF</v>
      </c>
      <c r="L451" s="156">
        <f t="shared" si="4"/>
        <v>0</v>
      </c>
      <c r="M451" s="156">
        <f t="shared" si="5"/>
        <v>-1817.48</v>
      </c>
      <c r="N451" s="155" t="str">
        <f>IF($P451&lt;&gt;"",IF(MAXIFS(Investment!$M:$M,Investment!$H:$H,LEFT($P451,30)&amp;"*"),MAXIFS(Investment!$M:$M,Investment!$H:$H,LEFT($P451,30)&amp;"*"),),)</f>
        <v/>
      </c>
      <c r="O451" s="158" t="str">
        <f>IF($P451&lt;&gt;"",IF(MAXIFS(Investment!$AH:$AH,Investment!$H:$H,LEFT($P451,30)&amp;"*"),MAXIFS(Investment!$AH:$AH,Investment!$H:$H,LEFT($P451,30)&amp;"*"),),)</f>
        <v/>
      </c>
      <c r="P451" s="141"/>
      <c r="Q451" s="156"/>
      <c r="R451" s="279"/>
    </row>
    <row r="452">
      <c r="A452" s="122">
        <v>42982.0</v>
      </c>
      <c r="B452" s="124"/>
      <c r="C452" s="130"/>
      <c r="D452" s="298" t="s">
        <v>378</v>
      </c>
      <c r="E452" s="298"/>
      <c r="F452" s="264"/>
      <c r="G452" s="128">
        <v>-78.9</v>
      </c>
      <c r="H452" s="305" t="s">
        <v>1371</v>
      </c>
      <c r="I452" s="138" t="str">
        <f t="shared" ref="I452:J452" si="456">IFS(AND($B452&lt;&gt;"",$E452&lt;&gt;""),IF(INDEX(N:N,MATCH($C452,$P:$P,0),1)&lt;&gt;"",$E452*INDEX(N:N,MATCH($C452,$P:$P,0),1)+$G452,""),AND($B452&lt;&gt;"",$D452="COST",$G452&lt;0),$G452,TRUE,)</f>
        <v/>
      </c>
      <c r="J452" s="138" t="str">
        <f t="shared" si="456"/>
        <v/>
      </c>
      <c r="K452" s="266" t="str">
        <f t="shared" si="3"/>
        <v/>
      </c>
      <c r="L452" s="156" t="str">
        <f t="shared" si="4"/>
        <v/>
      </c>
      <c r="M452" s="156" t="str">
        <f t="shared" si="5"/>
        <v/>
      </c>
      <c r="N452" s="155" t="str">
        <f>IF($P452&lt;&gt;"",IF(MAXIFS(Investment!$M:$M,Investment!$H:$H,LEFT($P452,30)&amp;"*"),MAXIFS(Investment!$M:$M,Investment!$H:$H,LEFT($P452,30)&amp;"*"),),)</f>
        <v/>
      </c>
      <c r="O452" s="158" t="str">
        <f>IF($P452&lt;&gt;"",IF(MAXIFS(Investment!$AH:$AH,Investment!$H:$H,LEFT($P452,30)&amp;"*"),MAXIFS(Investment!$AH:$AH,Investment!$H:$H,LEFT($P452,30)&amp;"*"),),)</f>
        <v/>
      </c>
      <c r="P452" s="141"/>
      <c r="Q452" s="156"/>
      <c r="R452" s="279"/>
    </row>
    <row r="453">
      <c r="A453" s="122">
        <v>42979.0</v>
      </c>
      <c r="B453" s="124" t="s">
        <v>343</v>
      </c>
      <c r="C453" s="130" t="s">
        <v>344</v>
      </c>
      <c r="D453" s="298" t="s">
        <v>330</v>
      </c>
      <c r="E453" s="298">
        <v>57.0</v>
      </c>
      <c r="F453" s="264">
        <v>39.711</v>
      </c>
      <c r="G453" s="128">
        <v>-2263.53</v>
      </c>
      <c r="H453" s="305" t="s">
        <v>1372</v>
      </c>
      <c r="I453" s="138">
        <f t="shared" ref="I453:J453" si="457">IFS(AND($B453&lt;&gt;"",$E453&lt;&gt;""),IF(INDEX(N:N,MATCH($C453,$P:$P,0),1)&lt;&gt;"",$E453*INDEX(N:N,MATCH($C453,$P:$P,0),1)+$G453,""),AND($B453&lt;&gt;"",$D453="COST",$G453&lt;0),$G453,TRUE,)</f>
        <v>512.427</v>
      </c>
      <c r="J453" s="138">
        <f t="shared" si="457"/>
        <v>381.7954688</v>
      </c>
      <c r="K453" s="266" t="str">
        <f t="shared" si="3"/>
        <v>Vanguard S&amp;P 500 UCITS</v>
      </c>
      <c r="L453" s="156">
        <f t="shared" si="4"/>
        <v>4293</v>
      </c>
      <c r="M453" s="156">
        <f t="shared" si="5"/>
        <v>-183260.93</v>
      </c>
      <c r="N453" s="155" t="str">
        <f>IF($P453&lt;&gt;"",IF(MAXIFS(Investment!$M:$M,Investment!$H:$H,LEFT($P453,30)&amp;"*"),MAXIFS(Investment!$M:$M,Investment!$H:$H,LEFT($P453,30)&amp;"*"),),)</f>
        <v/>
      </c>
      <c r="O453" s="158" t="str">
        <f>IF($P453&lt;&gt;"",IF(MAXIFS(Investment!$AH:$AH,Investment!$H:$H,LEFT($P453,30)&amp;"*"),MAXIFS(Investment!$AH:$AH,Investment!$H:$H,LEFT($P453,30)&amp;"*"),),)</f>
        <v/>
      </c>
      <c r="P453" s="141"/>
      <c r="Q453" s="156"/>
      <c r="R453" s="279"/>
    </row>
    <row r="454">
      <c r="A454" s="122">
        <v>42979.0</v>
      </c>
      <c r="B454" s="55" t="s">
        <v>268</v>
      </c>
      <c r="C454" s="304" t="s">
        <v>1196</v>
      </c>
      <c r="D454" s="55" t="s">
        <v>330</v>
      </c>
      <c r="E454" s="55">
        <v>23.0</v>
      </c>
      <c r="F454" s="264">
        <v>101.21</v>
      </c>
      <c r="G454" s="128">
        <v>-2327.77</v>
      </c>
      <c r="H454" s="310" t="s">
        <v>1373</v>
      </c>
      <c r="I454" s="138" t="str">
        <f t="shared" ref="I454:J454" si="458">IFS(AND($B454&lt;&gt;"",$E454&lt;&gt;""),IF(INDEX(N:N,MATCH($C454,$P:$P,0),1)&lt;&gt;"",$E454*INDEX(N:N,MATCH($C454,$P:$P,0),1)+$G454,""),AND($B454&lt;&gt;"",$D454="COST",$G454&lt;0),$G454,TRUE,)</f>
        <v/>
      </c>
      <c r="J454" s="138" t="str">
        <f t="shared" si="458"/>
        <v/>
      </c>
      <c r="K454" s="266" t="str">
        <f t="shared" si="3"/>
        <v>Vanguard Extended Duration Treasury ETF</v>
      </c>
      <c r="L454" s="156">
        <f t="shared" si="4"/>
        <v>0</v>
      </c>
      <c r="M454" s="156">
        <f t="shared" si="5"/>
        <v>-4941.36</v>
      </c>
      <c r="N454" s="155" t="str">
        <f>IF($P454&lt;&gt;"",IF(MAXIFS(Investment!$M:$M,Investment!$H:$H,LEFT($P454,30)&amp;"*"),MAXIFS(Investment!$M:$M,Investment!$H:$H,LEFT($P454,30)&amp;"*"),),)</f>
        <v/>
      </c>
      <c r="O454" s="158" t="str">
        <f>IF($P454&lt;&gt;"",IF(MAXIFS(Investment!$AH:$AH,Investment!$H:$H,LEFT($P454,30)&amp;"*"),MAXIFS(Investment!$AH:$AH,Investment!$H:$H,LEFT($P454,30)&amp;"*"),),)</f>
        <v/>
      </c>
      <c r="P454" s="141"/>
      <c r="Q454" s="156"/>
      <c r="R454" s="279"/>
    </row>
    <row r="455">
      <c r="A455" s="122">
        <v>42979.0</v>
      </c>
      <c r="B455" s="55" t="s">
        <v>364</v>
      </c>
      <c r="C455" s="304" t="s">
        <v>1256</v>
      </c>
      <c r="D455" s="55" t="s">
        <v>378</v>
      </c>
      <c r="E455" s="170"/>
      <c r="F455" s="264"/>
      <c r="G455" s="128">
        <v>-0.8</v>
      </c>
      <c r="H455" s="310" t="s">
        <v>1374</v>
      </c>
      <c r="I455" s="138">
        <f t="shared" ref="I455:J455" si="459">IFS(AND($B455&lt;&gt;"",$E455&lt;&gt;""),IF(INDEX(N:N,MATCH($C455,$P:$P,0),1)&lt;&gt;"",$E455*INDEX(N:N,MATCH($C455,$P:$P,0),1)+$G455,""),AND($B455&lt;&gt;"",$D455="COST",$G455&lt;0),$G455,TRUE,)</f>
        <v>-0.8</v>
      </c>
      <c r="J455" s="138">
        <f t="shared" si="459"/>
        <v>-0.8</v>
      </c>
      <c r="K455" s="266" t="str">
        <f t="shared" si="3"/>
        <v>Vanguard Intermediate-Term Treasury ETF</v>
      </c>
      <c r="L455" s="156">
        <f t="shared" si="4"/>
        <v>0</v>
      </c>
      <c r="M455" s="156">
        <f t="shared" si="5"/>
        <v>-1817.48</v>
      </c>
      <c r="N455" s="155" t="str">
        <f>IF($P455&lt;&gt;"",IF(MAXIFS(Investment!$M:$M,Investment!$H:$H,LEFT($P455,30)&amp;"*"),MAXIFS(Investment!$M:$M,Investment!$H:$H,LEFT($P455,30)&amp;"*"),),)</f>
        <v/>
      </c>
      <c r="O455" s="158" t="str">
        <f>IF($P455&lt;&gt;"",IF(MAXIFS(Investment!$AH:$AH,Investment!$H:$H,LEFT($P455,30)&amp;"*"),MAXIFS(Investment!$AH:$AH,Investment!$H:$H,LEFT($P455,30)&amp;"*"),),)</f>
        <v/>
      </c>
      <c r="P455" s="299"/>
      <c r="R455" s="52"/>
    </row>
    <row r="456">
      <c r="A456" s="122">
        <v>42979.0</v>
      </c>
      <c r="B456" s="55" t="s">
        <v>364</v>
      </c>
      <c r="C456" s="304" t="s">
        <v>1256</v>
      </c>
      <c r="D456" s="55" t="s">
        <v>330</v>
      </c>
      <c r="E456" s="55">
        <v>21.0</v>
      </c>
      <c r="F456" s="264">
        <v>54.9</v>
      </c>
      <c r="G456" s="128">
        <v>-1152.82</v>
      </c>
      <c r="H456" s="310" t="s">
        <v>1375</v>
      </c>
      <c r="I456" s="138" t="str">
        <f t="shared" ref="I456:J456" si="460">IFS(AND($B456&lt;&gt;"",$E456&lt;&gt;""),IF(INDEX(N:N,MATCH($C456,$P:$P,0),1)&lt;&gt;"",$E456*INDEX(N:N,MATCH($C456,$P:$P,0),1)+$G456,""),AND($B456&lt;&gt;"",$D456="COST",$G456&lt;0),$G456,TRUE,)</f>
        <v/>
      </c>
      <c r="J456" s="138" t="str">
        <f t="shared" si="460"/>
        <v/>
      </c>
      <c r="K456" s="266" t="str">
        <f t="shared" si="3"/>
        <v>Vanguard Intermediate-Term Treasury ETF</v>
      </c>
      <c r="L456" s="156">
        <f t="shared" si="4"/>
        <v>0</v>
      </c>
      <c r="M456" s="156">
        <f t="shared" si="5"/>
        <v>-1817.48</v>
      </c>
      <c r="N456" s="155" t="str">
        <f>IF($P456&lt;&gt;"",IF(MAXIFS(Investment!$M:$M,Investment!$H:$H,LEFT($P456,30)&amp;"*"),MAXIFS(Investment!$M:$M,Investment!$H:$H,LEFT($P456,30)&amp;"*"),),)</f>
        <v/>
      </c>
      <c r="O456" s="158" t="str">
        <f>IF($P456&lt;&gt;"",IF(MAXIFS(Investment!$AH:$AH,Investment!$H:$H,LEFT($P456,30)&amp;"*"),MAXIFS(Investment!$AH:$AH,Investment!$H:$H,LEFT($P456,30)&amp;"*"),),)</f>
        <v/>
      </c>
      <c r="P456" s="299"/>
      <c r="R456" s="52"/>
    </row>
    <row r="457">
      <c r="A457" s="122">
        <v>42979.0</v>
      </c>
      <c r="B457" s="55" t="s">
        <v>328</v>
      </c>
      <c r="C457" s="304" t="s">
        <v>329</v>
      </c>
      <c r="D457" s="55" t="s">
        <v>330</v>
      </c>
      <c r="E457" s="55">
        <v>83.0</v>
      </c>
      <c r="F457" s="264">
        <v>7.215</v>
      </c>
      <c r="G457" s="128">
        <v>-598.84</v>
      </c>
      <c r="H457" s="310" t="s">
        <v>1376</v>
      </c>
      <c r="I457" s="138">
        <f t="shared" ref="I457:J457" si="461">IFS(AND($B457&lt;&gt;"",$E457&lt;&gt;""),IF(INDEX(N:N,MATCH($C457,$P:$P,0),1)&lt;&gt;"",$E457*INDEX(N:N,MATCH($C457,$P:$P,0),1)+$G457,""),AND($B457&lt;&gt;"",$D457="COST",$G457&lt;0),$G457,TRUE,)</f>
        <v>-1.074</v>
      </c>
      <c r="J457" s="138">
        <f t="shared" si="461"/>
        <v>8.833800781</v>
      </c>
      <c r="K457" s="266" t="str">
        <f t="shared" si="3"/>
        <v>ETFS All Commodities ETC</v>
      </c>
      <c r="L457" s="156">
        <f t="shared" si="4"/>
        <v>11470</v>
      </c>
      <c r="M457" s="156">
        <f t="shared" si="5"/>
        <v>-83154.49</v>
      </c>
      <c r="N457" s="155" t="str">
        <f>IF($P457&lt;&gt;"",IF(MAXIFS(Investment!$M:$M,Investment!$H:$H,LEFT($P457,30)&amp;"*"),MAXIFS(Investment!$M:$M,Investment!$H:$H,LEFT($P457,30)&amp;"*"),),)</f>
        <v/>
      </c>
      <c r="O457" s="158" t="str">
        <f>IF($P457&lt;&gt;"",IF(MAXIFS(Investment!$AH:$AH,Investment!$H:$H,LEFT($P457,30)&amp;"*"),MAXIFS(Investment!$AH:$AH,Investment!$H:$H,LEFT($P457,30)&amp;"*"),),)</f>
        <v/>
      </c>
      <c r="P457" s="299"/>
      <c r="R457" s="52"/>
    </row>
    <row r="458">
      <c r="A458" s="122">
        <v>42979.0</v>
      </c>
      <c r="B458" s="55" t="s">
        <v>317</v>
      </c>
      <c r="C458" s="304" t="s">
        <v>1269</v>
      </c>
      <c r="D458" s="55" t="s">
        <v>330</v>
      </c>
      <c r="E458" s="55">
        <v>26.0</v>
      </c>
      <c r="F458" s="264">
        <v>10.7</v>
      </c>
      <c r="G458" s="128">
        <v>-278.32</v>
      </c>
      <c r="H458" s="310" t="s">
        <v>1377</v>
      </c>
      <c r="I458" s="138" t="str">
        <f t="shared" ref="I458:J458" si="462">IFS(AND($B458&lt;&gt;"",$E458&lt;&gt;""),IF(INDEX(N:N,MATCH($C458,$P:$P,0),1)&lt;&gt;"",$E458*INDEX(N:N,MATCH($C458,$P:$P,0),1)+$G458,""),AND($B458&lt;&gt;"",$D458="COST",$G458&lt;0),$G458,TRUE,)</f>
        <v/>
      </c>
      <c r="J458" s="138" t="str">
        <f t="shared" si="462"/>
        <v/>
      </c>
      <c r="K458" s="266" t="str">
        <f t="shared" si="3"/>
        <v>iShares Gold Trust</v>
      </c>
      <c r="L458" s="156">
        <f t="shared" si="4"/>
        <v>0</v>
      </c>
      <c r="M458" s="156">
        <f t="shared" si="5"/>
        <v>140.23</v>
      </c>
      <c r="N458" s="155" t="str">
        <f>IF($P458&lt;&gt;"",IF(MAXIFS(Investment!$M:$M,Investment!$H:$H,LEFT($P458,30)&amp;"*"),MAXIFS(Investment!$M:$M,Investment!$H:$H,LEFT($P458,30)&amp;"*"),),)</f>
        <v/>
      </c>
      <c r="O458" s="158" t="str">
        <f>IF($P458&lt;&gt;"",IF(MAXIFS(Investment!$AH:$AH,Investment!$H:$H,LEFT($P458,30)&amp;"*"),MAXIFS(Investment!$AH:$AH,Investment!$H:$H,LEFT($P458,30)&amp;"*"),),)</f>
        <v/>
      </c>
      <c r="P458" s="299"/>
      <c r="R458" s="52"/>
    </row>
    <row r="459">
      <c r="A459" s="122">
        <v>42956.0</v>
      </c>
      <c r="B459" s="124" t="s">
        <v>364</v>
      </c>
      <c r="C459" s="130" t="s">
        <v>1256</v>
      </c>
      <c r="D459" s="298" t="s">
        <v>272</v>
      </c>
      <c r="E459" s="298"/>
      <c r="F459" s="264"/>
      <c r="G459" s="128">
        <v>-3.14</v>
      </c>
      <c r="H459" s="305" t="s">
        <v>1378</v>
      </c>
      <c r="I459" s="138" t="str">
        <f t="shared" ref="I459:J459" si="463">IFS(AND($B459&lt;&gt;"",$E459&lt;&gt;""),IF(INDEX(N:N,MATCH($C459,$P:$P,0),1)&lt;&gt;"",$E459*INDEX(N:N,MATCH($C459,$P:$P,0),1)+$G459,""),AND($B459&lt;&gt;"",$D459="COST",$G459&lt;0),$G459,TRUE,)</f>
        <v/>
      </c>
      <c r="J459" s="138" t="str">
        <f t="shared" si="463"/>
        <v/>
      </c>
      <c r="K459" s="266" t="str">
        <f t="shared" si="3"/>
        <v>Vanguard Intermediate-Term Treasury ETF</v>
      </c>
      <c r="L459" s="156">
        <f t="shared" si="4"/>
        <v>0</v>
      </c>
      <c r="M459" s="156">
        <f t="shared" si="5"/>
        <v>-1817.48</v>
      </c>
      <c r="N459" s="155" t="str">
        <f>IF($P459&lt;&gt;"",IF(MAXIFS(Investment!$M:$M,Investment!$H:$H,LEFT($P459,30)&amp;"*"),MAXIFS(Investment!$M:$M,Investment!$H:$H,LEFT($P459,30)&amp;"*"),),)</f>
        <v/>
      </c>
      <c r="O459" s="158" t="str">
        <f>IF($P459&lt;&gt;"",IF(MAXIFS(Investment!$AH:$AH,Investment!$H:$H,LEFT($P459,30)&amp;"*"),MAXIFS(Investment!$AH:$AH,Investment!$H:$H,LEFT($P459,30)&amp;"*"),),)</f>
        <v/>
      </c>
      <c r="P459" s="299"/>
      <c r="R459" s="52"/>
    </row>
    <row r="460">
      <c r="A460" s="122">
        <v>42955.0</v>
      </c>
      <c r="B460" s="124" t="s">
        <v>364</v>
      </c>
      <c r="C460" s="130" t="s">
        <v>1256</v>
      </c>
      <c r="D460" s="298" t="s">
        <v>272</v>
      </c>
      <c r="E460" s="298"/>
      <c r="F460" s="264"/>
      <c r="G460" s="128">
        <v>20.91</v>
      </c>
      <c r="H460" s="305" t="s">
        <v>1379</v>
      </c>
      <c r="I460" s="138" t="str">
        <f t="shared" ref="I460:J460" si="464">IFS(AND($B460&lt;&gt;"",$E460&lt;&gt;""),IF(INDEX(N:N,MATCH($C460,$P:$P,0),1)&lt;&gt;"",$E460*INDEX(N:N,MATCH($C460,$P:$P,0),1)+$G460,""),AND($B460&lt;&gt;"",$D460="COST",$G460&lt;0),$G460,TRUE,)</f>
        <v/>
      </c>
      <c r="J460" s="138" t="str">
        <f t="shared" si="464"/>
        <v/>
      </c>
      <c r="K460" s="266" t="str">
        <f t="shared" si="3"/>
        <v>Vanguard Intermediate-Term Treasury ETF</v>
      </c>
      <c r="L460" s="156">
        <f t="shared" si="4"/>
        <v>0</v>
      </c>
      <c r="M460" s="156">
        <f t="shared" si="5"/>
        <v>-1817.48</v>
      </c>
      <c r="N460" s="155" t="str">
        <f>IF($P460&lt;&gt;"",IF(MAXIFS(Investment!$M:$M,Investment!$H:$H,LEFT($P460,30)&amp;"*"),MAXIFS(Investment!$M:$M,Investment!$H:$H,LEFT($P460,30)&amp;"*"),),)</f>
        <v/>
      </c>
      <c r="O460" s="158" t="str">
        <f>IF($P460&lt;&gt;"",IF(MAXIFS(Investment!$AH:$AH,Investment!$H:$H,LEFT($P460,30)&amp;"*"),MAXIFS(Investment!$AH:$AH,Investment!$H:$H,LEFT($P460,30)&amp;"*"),),)</f>
        <v/>
      </c>
      <c r="P460" s="141"/>
      <c r="Q460" s="156"/>
      <c r="R460" s="279"/>
    </row>
    <row r="461">
      <c r="A461" s="122">
        <v>42950.0</v>
      </c>
      <c r="B461" s="55" t="s">
        <v>328</v>
      </c>
      <c r="C461" s="304" t="s">
        <v>329</v>
      </c>
      <c r="D461" s="55" t="s">
        <v>330</v>
      </c>
      <c r="E461" s="55">
        <v>67.0</v>
      </c>
      <c r="F461" s="264">
        <v>7.1</v>
      </c>
      <c r="G461" s="128">
        <v>-475.7</v>
      </c>
      <c r="H461" s="310" t="s">
        <v>1380</v>
      </c>
      <c r="I461" s="138">
        <f t="shared" ref="I461:J461" si="465">IFS(AND($B461&lt;&gt;"",$E461&lt;&gt;""),IF(INDEX(N:N,MATCH($C461,$P:$P,0),1)&lt;&gt;"",$E461*INDEX(N:N,MATCH($C461,$P:$P,0),1)+$G461,""),AND($B461&lt;&gt;"",$D461="COST",$G461&lt;0),$G461,TRUE,)</f>
        <v>6.834</v>
      </c>
      <c r="J461" s="138">
        <f t="shared" si="465"/>
        <v>14.83186328</v>
      </c>
      <c r="K461" s="266" t="str">
        <f t="shared" si="3"/>
        <v>ETFS All Commodities ETC</v>
      </c>
      <c r="L461" s="156">
        <f t="shared" si="4"/>
        <v>11470</v>
      </c>
      <c r="M461" s="156">
        <f t="shared" si="5"/>
        <v>-83154.49</v>
      </c>
      <c r="N461" s="155" t="str">
        <f>IF($P461&lt;&gt;"",IF(MAXIFS(Investment!$M:$M,Investment!$H:$H,LEFT($P461,30)&amp;"*"),MAXIFS(Investment!$M:$M,Investment!$H:$H,LEFT($P461,30)&amp;"*"),),)</f>
        <v/>
      </c>
      <c r="O461" s="158" t="str">
        <f>IF($P461&lt;&gt;"",IF(MAXIFS(Investment!$AH:$AH,Investment!$H:$H,LEFT($P461,30)&amp;"*"),MAXIFS(Investment!$AH:$AH,Investment!$H:$H,LEFT($P461,30)&amp;"*"),),)</f>
        <v/>
      </c>
      <c r="P461" s="141"/>
      <c r="Q461" s="156"/>
      <c r="R461" s="279"/>
    </row>
    <row r="462">
      <c r="A462" s="122">
        <v>42950.0</v>
      </c>
      <c r="B462" s="55" t="s">
        <v>343</v>
      </c>
      <c r="C462" s="304" t="s">
        <v>344</v>
      </c>
      <c r="D462" s="55" t="s">
        <v>330</v>
      </c>
      <c r="E462" s="55">
        <v>45.0</v>
      </c>
      <c r="F462" s="264">
        <v>39.632</v>
      </c>
      <c r="G462" s="128">
        <v>-1783.44</v>
      </c>
      <c r="H462" s="310" t="s">
        <v>1381</v>
      </c>
      <c r="I462" s="138">
        <f t="shared" ref="I462:J462" si="466">IFS(AND($B462&lt;&gt;"",$E462&lt;&gt;""),IF(INDEX(N:N,MATCH($C462,$P:$P,0),1)&lt;&gt;"",$E462*INDEX(N:N,MATCH($C462,$P:$P,0),1)+$G462,""),AND($B462&lt;&gt;"",$D462="COST",$G462&lt;0),$G462,TRUE,)</f>
        <v>408.105</v>
      </c>
      <c r="J462" s="138">
        <f t="shared" si="466"/>
        <v>304.9748438</v>
      </c>
      <c r="K462" s="266" t="str">
        <f t="shared" si="3"/>
        <v>Vanguard S&amp;P 500 UCITS</v>
      </c>
      <c r="L462" s="156">
        <f t="shared" si="4"/>
        <v>4293</v>
      </c>
      <c r="M462" s="156">
        <f t="shared" si="5"/>
        <v>-183260.93</v>
      </c>
      <c r="N462" s="155" t="str">
        <f>IF($P462&lt;&gt;"",IF(MAXIFS(Investment!$M:$M,Investment!$H:$H,LEFT($P462,30)&amp;"*"),MAXIFS(Investment!$M:$M,Investment!$H:$H,LEFT($P462,30)&amp;"*"),),)</f>
        <v/>
      </c>
      <c r="O462" s="158" t="str">
        <f>IF($P462&lt;&gt;"",IF(MAXIFS(Investment!$AH:$AH,Investment!$H:$H,LEFT($P462,30)&amp;"*"),MAXIFS(Investment!$AH:$AH,Investment!$H:$H,LEFT($P462,30)&amp;"*"),),)</f>
        <v/>
      </c>
      <c r="P462" s="299"/>
      <c r="R462" s="52"/>
    </row>
    <row r="463">
      <c r="A463" s="122">
        <v>42949.0</v>
      </c>
      <c r="B463" s="124" t="s">
        <v>364</v>
      </c>
      <c r="C463" s="130" t="s">
        <v>1256</v>
      </c>
      <c r="D463" s="298" t="s">
        <v>378</v>
      </c>
      <c r="E463" s="298"/>
      <c r="F463" s="264"/>
      <c r="G463" s="128">
        <v>-0.8</v>
      </c>
      <c r="H463" s="305" t="s">
        <v>1374</v>
      </c>
      <c r="I463" s="138">
        <f t="shared" ref="I463:J463" si="467">IFS(AND($B463&lt;&gt;"",$E463&lt;&gt;""),IF(INDEX(N:N,MATCH($C463,$P:$P,0),1)&lt;&gt;"",$E463*INDEX(N:N,MATCH($C463,$P:$P,0),1)+$G463,""),AND($B463&lt;&gt;"",$D463="COST",$G463&lt;0),$G463,TRUE,)</f>
        <v>-0.8</v>
      </c>
      <c r="J463" s="138">
        <f t="shared" si="467"/>
        <v>-0.8</v>
      </c>
      <c r="K463" s="266" t="str">
        <f t="shared" si="3"/>
        <v>Vanguard Intermediate-Term Treasury ETF</v>
      </c>
      <c r="L463" s="156">
        <f t="shared" si="4"/>
        <v>0</v>
      </c>
      <c r="M463" s="156">
        <f t="shared" si="5"/>
        <v>-1817.48</v>
      </c>
      <c r="N463" s="155" t="str">
        <f>IF($P463&lt;&gt;"",IF(MAXIFS(Investment!$M:$M,Investment!$H:$H,LEFT($P463,30)&amp;"*"),MAXIFS(Investment!$M:$M,Investment!$H:$H,LEFT($P463,30)&amp;"*"),),)</f>
        <v/>
      </c>
      <c r="O463" s="158" t="str">
        <f>IF($P463&lt;&gt;"",IF(MAXIFS(Investment!$AH:$AH,Investment!$H:$H,LEFT($P463,30)&amp;"*"),MAXIFS(Investment!$AH:$AH,Investment!$H:$H,LEFT($P463,30)&amp;"*"),),)</f>
        <v/>
      </c>
      <c r="P463" s="299"/>
      <c r="R463" s="52"/>
    </row>
    <row r="464">
      <c r="A464" s="122">
        <v>42949.0</v>
      </c>
      <c r="B464" s="124"/>
      <c r="C464" s="130"/>
      <c r="D464" s="298" t="s">
        <v>378</v>
      </c>
      <c r="E464" s="298"/>
      <c r="F464" s="264"/>
      <c r="G464" s="128">
        <v>-5.0</v>
      </c>
      <c r="H464" s="305" t="s">
        <v>915</v>
      </c>
      <c r="I464" s="138" t="str">
        <f t="shared" ref="I464:J464" si="468">IFS(AND($B464&lt;&gt;"",$E464&lt;&gt;""),IF(INDEX(N:N,MATCH($C464,$P:$P,0),1)&lt;&gt;"",$E464*INDEX(N:N,MATCH($C464,$P:$P,0),1)+$G464,""),AND($B464&lt;&gt;"",$D464="COST",$G464&lt;0),$G464,TRUE,)</f>
        <v/>
      </c>
      <c r="J464" s="138" t="str">
        <f t="shared" si="468"/>
        <v/>
      </c>
      <c r="K464" s="266" t="str">
        <f t="shared" si="3"/>
        <v/>
      </c>
      <c r="L464" s="156" t="str">
        <f t="shared" si="4"/>
        <v/>
      </c>
      <c r="M464" s="156" t="str">
        <f t="shared" si="5"/>
        <v/>
      </c>
      <c r="N464" s="155" t="str">
        <f>IF($P464&lt;&gt;"",IF(MAXIFS(Investment!$M:$M,Investment!$H:$H,LEFT($P464,30)&amp;"*"),MAXIFS(Investment!$M:$M,Investment!$H:$H,LEFT($P464,30)&amp;"*"),),)</f>
        <v/>
      </c>
      <c r="O464" s="158" t="str">
        <f>IF($P464&lt;&gt;"",IF(MAXIFS(Investment!$AH:$AH,Investment!$H:$H,LEFT($P464,30)&amp;"*"),MAXIFS(Investment!$AH:$AH,Investment!$H:$H,LEFT($P464,30)&amp;"*"),),)</f>
        <v/>
      </c>
      <c r="P464" s="141"/>
      <c r="Q464" s="156"/>
      <c r="R464" s="279"/>
    </row>
    <row r="465">
      <c r="A465" s="122">
        <v>42949.0</v>
      </c>
      <c r="B465" s="124"/>
      <c r="C465" s="130"/>
      <c r="D465" s="298" t="s">
        <v>378</v>
      </c>
      <c r="E465" s="298"/>
      <c r="F465" s="264"/>
      <c r="G465" s="128">
        <v>-66.68</v>
      </c>
      <c r="H465" s="305" t="s">
        <v>1382</v>
      </c>
      <c r="I465" s="138" t="str">
        <f t="shared" ref="I465:J465" si="469">IFS(AND($B465&lt;&gt;"",$E465&lt;&gt;""),IF(INDEX(N:N,MATCH($C465,$P:$P,0),1)&lt;&gt;"",$E465*INDEX(N:N,MATCH($C465,$P:$P,0),1)+$G465,""),AND($B465&lt;&gt;"",$D465="COST",$G465&lt;0),$G465,TRUE,)</f>
        <v/>
      </c>
      <c r="J465" s="138" t="str">
        <f t="shared" si="469"/>
        <v/>
      </c>
      <c r="K465" s="266" t="str">
        <f t="shared" si="3"/>
        <v/>
      </c>
      <c r="L465" s="156" t="str">
        <f t="shared" si="4"/>
        <v/>
      </c>
      <c r="M465" s="156" t="str">
        <f t="shared" si="5"/>
        <v/>
      </c>
      <c r="N465" s="155" t="str">
        <f>IF($P465&lt;&gt;"",IF(MAXIFS(Investment!$M:$M,Investment!$H:$H,LEFT($P465,30)&amp;"*"),MAXIFS(Investment!$M:$M,Investment!$H:$H,LEFT($P465,30)&amp;"*"),),)</f>
        <v/>
      </c>
      <c r="O465" s="158" t="str">
        <f>IF($P465&lt;&gt;"",IF(MAXIFS(Investment!$AH:$AH,Investment!$H:$H,LEFT($P465,30)&amp;"*"),MAXIFS(Investment!$AH:$AH,Investment!$H:$H,LEFT($P465,30)&amp;"*"),),)</f>
        <v/>
      </c>
      <c r="P465" s="141"/>
      <c r="Q465" s="156"/>
      <c r="R465" s="279"/>
    </row>
    <row r="466">
      <c r="A466" s="122">
        <v>42949.0</v>
      </c>
      <c r="B466" s="55" t="s">
        <v>268</v>
      </c>
      <c r="C466" s="304" t="s">
        <v>1196</v>
      </c>
      <c r="D466" s="55" t="s">
        <v>330</v>
      </c>
      <c r="E466" s="55">
        <v>31.0</v>
      </c>
      <c r="F466" s="264">
        <v>99.37</v>
      </c>
      <c r="G466" s="128">
        <v>-3080.45</v>
      </c>
      <c r="H466" s="310" t="s">
        <v>1383</v>
      </c>
      <c r="I466" s="138" t="str">
        <f t="shared" ref="I466:J466" si="470">IFS(AND($B466&lt;&gt;"",$E466&lt;&gt;""),IF(INDEX(N:N,MATCH($C466,$P:$P,0),1)&lt;&gt;"",$E466*INDEX(N:N,MATCH($C466,$P:$P,0),1)+$G466,""),AND($B466&lt;&gt;"",$D466="COST",$G466&lt;0),$G466,TRUE,)</f>
        <v/>
      </c>
      <c r="J466" s="138" t="str">
        <f t="shared" si="470"/>
        <v/>
      </c>
      <c r="K466" s="266" t="str">
        <f t="shared" si="3"/>
        <v>Vanguard Extended Duration Treasury ETF</v>
      </c>
      <c r="L466" s="156">
        <f t="shared" si="4"/>
        <v>0</v>
      </c>
      <c r="M466" s="156">
        <f t="shared" si="5"/>
        <v>-4941.36</v>
      </c>
      <c r="N466" s="155" t="str">
        <f>IF($P466&lt;&gt;"",IF(MAXIFS(Investment!$M:$M,Investment!$H:$H,LEFT($P466,30)&amp;"*"),MAXIFS(Investment!$M:$M,Investment!$H:$H,LEFT($P466,30)&amp;"*"),),)</f>
        <v/>
      </c>
      <c r="O466" s="158" t="str">
        <f>IF($P466&lt;&gt;"",IF(MAXIFS(Investment!$AH:$AH,Investment!$H:$H,LEFT($P466,30)&amp;"*"),MAXIFS(Investment!$AH:$AH,Investment!$H:$H,LEFT($P466,30)&amp;"*"),),)</f>
        <v/>
      </c>
      <c r="P466" s="141"/>
      <c r="Q466" s="156"/>
      <c r="R466" s="279"/>
    </row>
    <row r="467">
      <c r="A467" s="122">
        <v>42949.0</v>
      </c>
      <c r="B467" s="55" t="s">
        <v>364</v>
      </c>
      <c r="C467" s="304" t="s">
        <v>1256</v>
      </c>
      <c r="D467" s="55" t="s">
        <v>330</v>
      </c>
      <c r="E467" s="55">
        <v>21.0</v>
      </c>
      <c r="F467" s="264">
        <v>54.7</v>
      </c>
      <c r="G467" s="128">
        <v>-1148.78</v>
      </c>
      <c r="H467" s="310" t="s">
        <v>1384</v>
      </c>
      <c r="I467" s="138" t="str">
        <f t="shared" ref="I467:J467" si="471">IFS(AND($B467&lt;&gt;"",$E467&lt;&gt;""),IF(INDEX(N:N,MATCH($C467,$P:$P,0),1)&lt;&gt;"",$E467*INDEX(N:N,MATCH($C467,$P:$P,0),1)+$G467,""),AND($B467&lt;&gt;"",$D467="COST",$G467&lt;0),$G467,TRUE,)</f>
        <v/>
      </c>
      <c r="J467" s="138" t="str">
        <f t="shared" si="471"/>
        <v/>
      </c>
      <c r="K467" s="266" t="str">
        <f t="shared" si="3"/>
        <v>Vanguard Intermediate-Term Treasury ETF</v>
      </c>
      <c r="L467" s="156">
        <f t="shared" si="4"/>
        <v>0</v>
      </c>
      <c r="M467" s="156">
        <f t="shared" si="5"/>
        <v>-1817.48</v>
      </c>
      <c r="N467" s="155" t="str">
        <f>IF($P467&lt;&gt;"",IF(MAXIFS(Investment!$M:$M,Investment!$H:$H,LEFT($P467,30)&amp;"*"),MAXIFS(Investment!$M:$M,Investment!$H:$H,LEFT($P467,30)&amp;"*"),),)</f>
        <v/>
      </c>
      <c r="O467" s="158" t="str">
        <f>IF($P467&lt;&gt;"",IF(MAXIFS(Investment!$AH:$AH,Investment!$H:$H,LEFT($P467,30)&amp;"*"),MAXIFS(Investment!$AH:$AH,Investment!$H:$H,LEFT($P467,30)&amp;"*"),),)</f>
        <v/>
      </c>
      <c r="P467" s="299"/>
      <c r="R467" s="52"/>
    </row>
    <row r="468">
      <c r="A468" s="122">
        <v>42949.0</v>
      </c>
      <c r="B468" s="55" t="s">
        <v>317</v>
      </c>
      <c r="C468" s="304" t="s">
        <v>1269</v>
      </c>
      <c r="D468" s="55" t="s">
        <v>330</v>
      </c>
      <c r="E468" s="55">
        <v>41.0</v>
      </c>
      <c r="F468" s="264">
        <v>10.32</v>
      </c>
      <c r="G468" s="128">
        <v>-422.98</v>
      </c>
      <c r="H468" s="310" t="s">
        <v>1385</v>
      </c>
      <c r="I468" s="138" t="str">
        <f t="shared" ref="I468:J468" si="472">IFS(AND($B468&lt;&gt;"",$E468&lt;&gt;""),IF(INDEX(N:N,MATCH($C468,$P:$P,0),1)&lt;&gt;"",$E468*INDEX(N:N,MATCH($C468,$P:$P,0),1)+$G468,""),AND($B468&lt;&gt;"",$D468="COST",$G468&lt;0),$G468,TRUE,)</f>
        <v/>
      </c>
      <c r="J468" s="138" t="str">
        <f t="shared" si="472"/>
        <v/>
      </c>
      <c r="K468" s="266" t="str">
        <f t="shared" si="3"/>
        <v>iShares Gold Trust</v>
      </c>
      <c r="L468" s="156">
        <f t="shared" si="4"/>
        <v>0</v>
      </c>
      <c r="M468" s="156">
        <f t="shared" si="5"/>
        <v>140.23</v>
      </c>
      <c r="N468" s="155" t="str">
        <f>IF($P468&lt;&gt;"",IF(MAXIFS(Investment!$M:$M,Investment!$H:$H,LEFT($P468,30)&amp;"*"),MAXIFS(Investment!$M:$M,Investment!$H:$H,LEFT($P468,30)&amp;"*"),),)</f>
        <v/>
      </c>
      <c r="O468" s="158" t="str">
        <f>IF($P468&lt;&gt;"",IF(MAXIFS(Investment!$AH:$AH,Investment!$H:$H,LEFT($P468,30)&amp;"*"),MAXIFS(Investment!$AH:$AH,Investment!$H:$H,LEFT($P468,30)&amp;"*"),),)</f>
        <v/>
      </c>
      <c r="P468" s="299"/>
      <c r="R468" s="52"/>
    </row>
    <row r="469">
      <c r="A469" s="122">
        <v>42928.0</v>
      </c>
      <c r="B469" s="124" t="s">
        <v>364</v>
      </c>
      <c r="C469" s="130" t="s">
        <v>1386</v>
      </c>
      <c r="D469" s="298" t="s">
        <v>272</v>
      </c>
      <c r="E469" s="298"/>
      <c r="F469" s="264"/>
      <c r="G469" s="128">
        <v>-2.54</v>
      </c>
      <c r="H469" s="305" t="s">
        <v>1387</v>
      </c>
      <c r="I469" s="138" t="str">
        <f t="shared" ref="I469:J469" si="473">IFS(AND($B469&lt;&gt;"",$E469&lt;&gt;""),IF(INDEX(N:N,MATCH($C469,$P:$P,0),1)&lt;&gt;"",$E469*INDEX(N:N,MATCH($C469,$P:$P,0),1)+$G469,""),AND($B469&lt;&gt;"",$D469="COST",$G469&lt;0),$G469,TRUE,)</f>
        <v/>
      </c>
      <c r="J469" s="138" t="str">
        <f t="shared" si="473"/>
        <v/>
      </c>
      <c r="K469" s="266" t="str">
        <f t="shared" si="3"/>
        <v>iShares 7-10 Year Treasury Bond ETF</v>
      </c>
      <c r="L469" s="156">
        <f t="shared" si="4"/>
        <v>0</v>
      </c>
      <c r="M469" s="156">
        <f t="shared" si="5"/>
        <v>-345.82</v>
      </c>
      <c r="N469" s="155" t="str">
        <f>IF($P469&lt;&gt;"",IF(MAXIFS(Investment!$M:$M,Investment!$H:$H,LEFT($P469,30)&amp;"*"),MAXIFS(Investment!$M:$M,Investment!$H:$H,LEFT($P469,30)&amp;"*"),),)</f>
        <v/>
      </c>
      <c r="O469" s="158" t="str">
        <f>IF($P469&lt;&gt;"",IF(MAXIFS(Investment!$AH:$AH,Investment!$H:$H,LEFT($P469,30)&amp;"*"),MAXIFS(Investment!$AH:$AH,Investment!$H:$H,LEFT($P469,30)&amp;"*"),),)</f>
        <v/>
      </c>
      <c r="P469" s="299"/>
      <c r="R469" s="52"/>
    </row>
    <row r="470" ht="1.5" customHeight="1">
      <c r="A470" s="122">
        <v>42927.0</v>
      </c>
      <c r="B470" s="124" t="s">
        <v>364</v>
      </c>
      <c r="C470" s="130" t="s">
        <v>1386</v>
      </c>
      <c r="D470" s="298" t="s">
        <v>272</v>
      </c>
      <c r="E470" s="298"/>
      <c r="F470" s="264"/>
      <c r="G470" s="128">
        <v>19.77</v>
      </c>
      <c r="H470" s="305" t="s">
        <v>1388</v>
      </c>
      <c r="I470" s="138" t="str">
        <f t="shared" ref="I470:J470" si="474">IFS(AND($B470&lt;&gt;"",$E470&lt;&gt;""),IF(INDEX(N:N,MATCH($C470,$P:$P,0),1)&lt;&gt;"",$E470*INDEX(N:N,MATCH($C470,$P:$P,0),1)+$G470,""),AND($B470&lt;&gt;"",$D470="COST",$G470&lt;0),$G470,TRUE,)</f>
        <v/>
      </c>
      <c r="J470" s="138" t="str">
        <f t="shared" si="474"/>
        <v/>
      </c>
      <c r="K470" s="266" t="str">
        <f t="shared" si="3"/>
        <v>iShares 7-10 Year Treasury Bond ETF</v>
      </c>
      <c r="L470" s="156">
        <f t="shared" si="4"/>
        <v>0</v>
      </c>
      <c r="M470" s="156">
        <f t="shared" si="5"/>
        <v>-345.82</v>
      </c>
      <c r="N470" s="155" t="str">
        <f>IF($P470&lt;&gt;"",IF(MAXIFS(Investment!$M:$M,Investment!$H:$H,LEFT($P470,30)&amp;"*"),MAXIFS(Investment!$M:$M,Investment!$H:$H,LEFT($P470,30)&amp;"*"),),)</f>
        <v/>
      </c>
      <c r="O470" s="158" t="str">
        <f>IF($P470&lt;&gt;"",IF(MAXIFS(Investment!$AH:$AH,Investment!$H:$H,LEFT($P470,30)&amp;"*"),MAXIFS(Investment!$AH:$AH,Investment!$H:$H,LEFT($P470,30)&amp;"*"),),)</f>
        <v/>
      </c>
      <c r="P470" s="141"/>
      <c r="Q470" s="156"/>
      <c r="R470" s="279"/>
    </row>
    <row r="471" ht="1.5" customHeight="1">
      <c r="A471" s="122">
        <v>42923.0</v>
      </c>
      <c r="B471" s="124" t="s">
        <v>268</v>
      </c>
      <c r="C471" s="130" t="s">
        <v>1196</v>
      </c>
      <c r="D471" s="298" t="s">
        <v>272</v>
      </c>
      <c r="E471" s="298"/>
      <c r="F471" s="264"/>
      <c r="G471" s="128">
        <v>-31.95</v>
      </c>
      <c r="H471" s="305" t="s">
        <v>1389</v>
      </c>
      <c r="I471" s="138" t="str">
        <f t="shared" ref="I471:J471" si="475">IFS(AND($B471&lt;&gt;"",$E471&lt;&gt;""),IF(INDEX(N:N,MATCH($C471,$P:$P,0),1)&lt;&gt;"",$E471*INDEX(N:N,MATCH($C471,$P:$P,0),1)+$G471,""),AND($B471&lt;&gt;"",$D471="COST",$G471&lt;0),$G471,TRUE,)</f>
        <v/>
      </c>
      <c r="J471" s="138" t="str">
        <f t="shared" si="475"/>
        <v/>
      </c>
      <c r="K471" s="266" t="str">
        <f t="shared" si="3"/>
        <v>Vanguard Extended Duration Treasury ETF</v>
      </c>
      <c r="L471" s="156">
        <f t="shared" si="4"/>
        <v>0</v>
      </c>
      <c r="M471" s="156">
        <f t="shared" si="5"/>
        <v>-4941.36</v>
      </c>
      <c r="N471" s="155" t="str">
        <f>IF($P471&lt;&gt;"",IF(MAXIFS(Investment!$M:$M,Investment!$H:$H,LEFT($P471,30)&amp;"*"),MAXIFS(Investment!$M:$M,Investment!$H:$H,LEFT($P471,30)&amp;"*"),),)</f>
        <v/>
      </c>
      <c r="O471" s="158" t="str">
        <f>IF($P471&lt;&gt;"",IF(MAXIFS(Investment!$AH:$AH,Investment!$H:$H,LEFT($P471,30)&amp;"*"),MAXIFS(Investment!$AH:$AH,Investment!$H:$H,LEFT($P471,30)&amp;"*"),),)</f>
        <v/>
      </c>
      <c r="P471" s="141"/>
      <c r="Q471" s="156"/>
      <c r="R471" s="279"/>
    </row>
    <row r="472" ht="1.5" customHeight="1">
      <c r="A472" s="122">
        <v>42922.0</v>
      </c>
      <c r="B472" s="124" t="s">
        <v>268</v>
      </c>
      <c r="C472" s="130" t="s">
        <v>1196</v>
      </c>
      <c r="D472" s="298" t="s">
        <v>272</v>
      </c>
      <c r="E472" s="298"/>
      <c r="F472" s="264"/>
      <c r="G472" s="128">
        <v>255.04</v>
      </c>
      <c r="H472" s="305" t="s">
        <v>1390</v>
      </c>
      <c r="I472" s="138" t="str">
        <f t="shared" ref="I472:J472" si="476">IFS(AND($B472&lt;&gt;"",$E472&lt;&gt;""),IF(INDEX(N:N,MATCH($C472,$P:$P,0),1)&lt;&gt;"",$E472*INDEX(N:N,MATCH($C472,$P:$P,0),1)+$G472,""),AND($B472&lt;&gt;"",$D472="COST",$G472&lt;0),$G472,TRUE,)</f>
        <v/>
      </c>
      <c r="J472" s="138" t="str">
        <f t="shared" si="476"/>
        <v/>
      </c>
      <c r="K472" s="266" t="str">
        <f t="shared" si="3"/>
        <v>Vanguard Extended Duration Treasury ETF</v>
      </c>
      <c r="L472" s="156">
        <f t="shared" si="4"/>
        <v>0</v>
      </c>
      <c r="M472" s="156">
        <f t="shared" si="5"/>
        <v>-4941.36</v>
      </c>
      <c r="N472" s="155" t="str">
        <f>IF($P472&lt;&gt;"",IF(MAXIFS(Investment!$M:$M,Investment!$H:$H,LEFT($P472,30)&amp;"*"),MAXIFS(Investment!$M:$M,Investment!$H:$H,LEFT($P472,30)&amp;"*"),),)</f>
        <v/>
      </c>
      <c r="O472" s="158" t="str">
        <f>IF($P472&lt;&gt;"",IF(MAXIFS(Investment!$AH:$AH,Investment!$H:$H,LEFT($P472,30)&amp;"*"),MAXIFS(Investment!$AH:$AH,Investment!$H:$H,LEFT($P472,30)&amp;"*"),),)</f>
        <v/>
      </c>
      <c r="P472" s="141"/>
      <c r="Q472" s="156"/>
      <c r="R472" s="279"/>
    </row>
    <row r="473">
      <c r="A473" s="122">
        <v>42921.0</v>
      </c>
      <c r="B473" s="124" t="s">
        <v>364</v>
      </c>
      <c r="C473" s="130" t="s">
        <v>1256</v>
      </c>
      <c r="D473" s="298" t="s">
        <v>330</v>
      </c>
      <c r="E473" s="298">
        <v>286.0</v>
      </c>
      <c r="F473" s="264">
        <v>56.941</v>
      </c>
      <c r="G473" s="128">
        <v>-16285.26</v>
      </c>
      <c r="H473" s="305" t="s">
        <v>1391</v>
      </c>
      <c r="I473" s="138" t="str">
        <f t="shared" ref="I473:J473" si="477">IFS(AND($B473&lt;&gt;"",$E473&lt;&gt;""),IF(INDEX(N:N,MATCH($C473,$P:$P,0),1)&lt;&gt;"",$E473*INDEX(N:N,MATCH($C473,$P:$P,0),1)+$G473,""),AND($B473&lt;&gt;"",$D473="COST",$G473&lt;0),$G473,TRUE,)</f>
        <v/>
      </c>
      <c r="J473" s="138" t="str">
        <f t="shared" si="477"/>
        <v/>
      </c>
      <c r="K473" s="266" t="str">
        <f t="shared" si="3"/>
        <v>Vanguard Intermediate-Term Treasury ETF</v>
      </c>
      <c r="L473" s="156">
        <f t="shared" si="4"/>
        <v>0</v>
      </c>
      <c r="M473" s="156">
        <f t="shared" si="5"/>
        <v>-1817.48</v>
      </c>
      <c r="N473" s="155" t="str">
        <f>IF($P473&lt;&gt;"",IF(MAXIFS(Investment!$M:$M,Investment!$H:$H,LEFT($P473,30)&amp;"*"),MAXIFS(Investment!$M:$M,Investment!$H:$H,LEFT($P473,30)&amp;"*"),),)</f>
        <v/>
      </c>
      <c r="O473" s="158" t="str">
        <f>IF($P473&lt;&gt;"",IF(MAXIFS(Investment!$AH:$AH,Investment!$H:$H,LEFT($P473,30)&amp;"*"),MAXIFS(Investment!$AH:$AH,Investment!$H:$H,LEFT($P473,30)&amp;"*"),),)</f>
        <v/>
      </c>
      <c r="P473" s="141"/>
      <c r="Q473" s="156"/>
      <c r="R473" s="279"/>
    </row>
    <row r="474" ht="1.5" customHeight="1">
      <c r="A474" s="122">
        <v>42921.0</v>
      </c>
      <c r="B474" s="55" t="s">
        <v>364</v>
      </c>
      <c r="C474" s="304" t="s">
        <v>1256</v>
      </c>
      <c r="D474" s="55" t="s">
        <v>378</v>
      </c>
      <c r="E474" s="170"/>
      <c r="F474" s="264"/>
      <c r="G474" s="128">
        <v>-4.77</v>
      </c>
      <c r="H474" s="310" t="s">
        <v>1392</v>
      </c>
      <c r="I474" s="138">
        <f t="shared" ref="I474:J474" si="478">IFS(AND($B474&lt;&gt;"",$E474&lt;&gt;""),IF(INDEX(N:N,MATCH($C474,$P:$P,0),1)&lt;&gt;"",$E474*INDEX(N:N,MATCH($C474,$P:$P,0),1)+$G474,""),AND($B474&lt;&gt;"",$D474="COST",$G474&lt;0),$G474,TRUE,)</f>
        <v>-4.77</v>
      </c>
      <c r="J474" s="138">
        <f t="shared" si="478"/>
        <v>-4.77</v>
      </c>
      <c r="K474" s="266" t="str">
        <f t="shared" si="3"/>
        <v>Vanguard Intermediate-Term Treasury ETF</v>
      </c>
      <c r="L474" s="156">
        <f t="shared" si="4"/>
        <v>0</v>
      </c>
      <c r="M474" s="156">
        <f t="shared" si="5"/>
        <v>-1817.48</v>
      </c>
      <c r="N474" s="155" t="str">
        <f>IF($P474&lt;&gt;"",IF(MAXIFS(Investment!$M:$M,Investment!$H:$H,LEFT($P474,30)&amp;"*"),MAXIFS(Investment!$M:$M,Investment!$H:$H,LEFT($P474,30)&amp;"*"),),)</f>
        <v/>
      </c>
      <c r="O474" s="158" t="str">
        <f>IF($P474&lt;&gt;"",IF(MAXIFS(Investment!$AH:$AH,Investment!$H:$H,LEFT($P474,30)&amp;"*"),MAXIFS(Investment!$AH:$AH,Investment!$H:$H,LEFT($P474,30)&amp;"*"),),)</f>
        <v/>
      </c>
      <c r="P474" s="141"/>
      <c r="Q474" s="156"/>
      <c r="R474" s="279"/>
    </row>
    <row r="475" ht="1.5" customHeight="1">
      <c r="A475" s="122">
        <v>42920.0</v>
      </c>
      <c r="B475" s="124"/>
      <c r="C475" s="130"/>
      <c r="D475" s="298" t="s">
        <v>378</v>
      </c>
      <c r="E475" s="298"/>
      <c r="F475" s="264"/>
      <c r="G475" s="128">
        <v>-55.33</v>
      </c>
      <c r="H475" s="305" t="s">
        <v>1393</v>
      </c>
      <c r="I475" s="138" t="str">
        <f t="shared" ref="I475:J475" si="479">IFS(AND($B475&lt;&gt;"",$E475&lt;&gt;""),IF(INDEX(N:N,MATCH($C475,$P:$P,0),1)&lt;&gt;"",$E475*INDEX(N:N,MATCH($C475,$P:$P,0),1)+$G475,""),AND($B475&lt;&gt;"",$D475="COST",$G475&lt;0),$G475,TRUE,)</f>
        <v/>
      </c>
      <c r="J475" s="138" t="str">
        <f t="shared" si="479"/>
        <v/>
      </c>
      <c r="K475" s="266" t="str">
        <f t="shared" si="3"/>
        <v/>
      </c>
      <c r="L475" s="156" t="str">
        <f t="shared" si="4"/>
        <v/>
      </c>
      <c r="M475" s="156" t="str">
        <f t="shared" si="5"/>
        <v/>
      </c>
      <c r="N475" s="155" t="str">
        <f>IF($P475&lt;&gt;"",IF(MAXIFS(Investment!$M:$M,Investment!$H:$H,LEFT($P475,30)&amp;"*"),MAXIFS(Investment!$M:$M,Investment!$H:$H,LEFT($P475,30)&amp;"*"),),)</f>
        <v/>
      </c>
      <c r="O475" s="158" t="str">
        <f>IF($P475&lt;&gt;"",IF(MAXIFS(Investment!$AH:$AH,Investment!$H:$H,LEFT($P475,30)&amp;"*"),MAXIFS(Investment!$AH:$AH,Investment!$H:$H,LEFT($P475,30)&amp;"*"),),)</f>
        <v/>
      </c>
      <c r="P475" s="299"/>
      <c r="R475" s="52"/>
    </row>
    <row r="476" ht="1.5" customHeight="1">
      <c r="A476" s="122">
        <v>42920.0</v>
      </c>
      <c r="B476" s="55" t="s">
        <v>328</v>
      </c>
      <c r="C476" s="304" t="s">
        <v>329</v>
      </c>
      <c r="D476" s="55" t="s">
        <v>330</v>
      </c>
      <c r="E476" s="50">
        <v>1096.0</v>
      </c>
      <c r="F476" s="264">
        <v>7.5</v>
      </c>
      <c r="G476" s="128">
        <v>-8220.0</v>
      </c>
      <c r="H476" s="310" t="s">
        <v>1394</v>
      </c>
      <c r="I476" s="138">
        <f t="shared" ref="I476:J476" si="480">IFS(AND($B476&lt;&gt;"",$E476&lt;&gt;""),IF(INDEX(N:N,MATCH($C476,$P:$P,0),1)&lt;&gt;"",$E476*INDEX(N:N,MATCH($C476,$P:$P,0),1)+$G476,""),AND($B476&lt;&gt;"",$D476="COST",$G476&lt;0),$G476,TRUE,)</f>
        <v>-326.608</v>
      </c>
      <c r="J476" s="138">
        <f t="shared" si="480"/>
        <v>-195.7772813</v>
      </c>
      <c r="K476" s="266" t="str">
        <f t="shared" si="3"/>
        <v>ETFS All Commodities ETC</v>
      </c>
      <c r="L476" s="156">
        <f t="shared" si="4"/>
        <v>11470</v>
      </c>
      <c r="M476" s="156">
        <f t="shared" si="5"/>
        <v>-83154.49</v>
      </c>
      <c r="N476" s="155" t="str">
        <f>IF($P476&lt;&gt;"",IF(MAXIFS(Investment!$M:$M,Investment!$H:$H,LEFT($P476,30)&amp;"*"),MAXIFS(Investment!$M:$M,Investment!$H:$H,LEFT($P476,30)&amp;"*"),),)</f>
        <v/>
      </c>
      <c r="O476" s="158" t="str">
        <f>IF($P476&lt;&gt;"",IF(MAXIFS(Investment!$AH:$AH,Investment!$H:$H,LEFT($P476,30)&amp;"*"),MAXIFS(Investment!$AH:$AH,Investment!$H:$H,LEFT($P476,30)&amp;"*"),),)</f>
        <v/>
      </c>
      <c r="P476" s="141"/>
      <c r="Q476" s="156"/>
      <c r="R476" s="279"/>
    </row>
    <row r="477">
      <c r="A477" s="122">
        <v>42919.0</v>
      </c>
      <c r="B477" s="124" t="s">
        <v>343</v>
      </c>
      <c r="C477" s="130" t="s">
        <v>344</v>
      </c>
      <c r="D477" s="298" t="s">
        <v>330</v>
      </c>
      <c r="E477" s="298">
        <v>804.0</v>
      </c>
      <c r="F477" s="264">
        <v>40.443</v>
      </c>
      <c r="G477" s="128">
        <v>-32516.18</v>
      </c>
      <c r="H477" s="305" t="s">
        <v>1395</v>
      </c>
      <c r="I477" s="138">
        <f t="shared" ref="I477:J477" si="481">IFS(AND($B477&lt;&gt;"",$E477&lt;&gt;""),IF(INDEX(N:N,MATCH($C477,$P:$P,0),1)&lt;&gt;"",$E477*INDEX(N:N,MATCH($C477,$P:$P,0),1)+$G477,""),AND($B477&lt;&gt;"",$D477="COST",$G477&lt;0),$G477,TRUE,)</f>
        <v>6639.424</v>
      </c>
      <c r="J477" s="138">
        <f t="shared" si="481"/>
        <v>4796.831875</v>
      </c>
      <c r="K477" s="266" t="str">
        <f t="shared" si="3"/>
        <v>Vanguard S&amp;P 500 UCITS</v>
      </c>
      <c r="L477" s="156">
        <f t="shared" si="4"/>
        <v>4293</v>
      </c>
      <c r="M477" s="156">
        <f t="shared" si="5"/>
        <v>-183260.93</v>
      </c>
      <c r="N477" s="155" t="str">
        <f>IF($P477&lt;&gt;"",IF(MAXIFS(Investment!$M:$M,Investment!$H:$H,LEFT($P477,30)&amp;"*"),MAXIFS(Investment!$M:$M,Investment!$H:$H,LEFT($P477,30)&amp;"*"),),)</f>
        <v/>
      </c>
      <c r="O477" s="158" t="str">
        <f>IF($P477&lt;&gt;"",IF(MAXIFS(Investment!$AH:$AH,Investment!$H:$H,LEFT($P477,30)&amp;"*"),MAXIFS(Investment!$AH:$AH,Investment!$H:$H,LEFT($P477,30)&amp;"*"),),)</f>
        <v/>
      </c>
      <c r="P477" s="299"/>
      <c r="R477" s="52"/>
    </row>
    <row r="478">
      <c r="A478" s="122">
        <v>42919.0</v>
      </c>
      <c r="B478" s="55" t="s">
        <v>328</v>
      </c>
      <c r="C478" s="304" t="s">
        <v>1396</v>
      </c>
      <c r="D478" s="55" t="s">
        <v>319</v>
      </c>
      <c r="E478" s="55">
        <v>-390.0</v>
      </c>
      <c r="F478" s="264">
        <v>18.19</v>
      </c>
      <c r="G478" s="128">
        <v>7094.1</v>
      </c>
      <c r="H478" s="310" t="s">
        <v>1397</v>
      </c>
      <c r="I478" s="138" t="str">
        <f t="shared" ref="I478:J478" si="482">IFS(AND($B478&lt;&gt;"",$E478&lt;&gt;""),IF(INDEX(N:N,MATCH($C478,$P:$P,0),1)&lt;&gt;"",$E478*INDEX(N:N,MATCH($C478,$P:$P,0),1)+$G478,""),AND($B478&lt;&gt;"",$D478="COST",$G478&lt;0),$G478,TRUE,)</f>
        <v/>
      </c>
      <c r="J478" s="138" t="str">
        <f t="shared" si="482"/>
        <v/>
      </c>
      <c r="K478" s="266" t="str">
        <f t="shared" si="3"/>
        <v>iShares Diversified Commodity Swap UCITS ETF DE</v>
      </c>
      <c r="L478" s="156">
        <f t="shared" si="4"/>
        <v>0</v>
      </c>
      <c r="M478" s="156">
        <f t="shared" si="5"/>
        <v>-296.42</v>
      </c>
      <c r="N478" s="155" t="str">
        <f>IF($P478&lt;&gt;"",IF(MAXIFS(Investment!$M:$M,Investment!$H:$H,LEFT($P478,30)&amp;"*"),MAXIFS(Investment!$M:$M,Investment!$H:$H,LEFT($P478,30)&amp;"*"),),)</f>
        <v/>
      </c>
      <c r="O478" s="158" t="str">
        <f>IF($P478&lt;&gt;"",IF(MAXIFS(Investment!$AH:$AH,Investment!$H:$H,LEFT($P478,30)&amp;"*"),MAXIFS(Investment!$AH:$AH,Investment!$H:$H,LEFT($P478,30)&amp;"*"),),)</f>
        <v/>
      </c>
      <c r="P478" s="141"/>
      <c r="Q478" s="156"/>
      <c r="R478" s="279"/>
    </row>
    <row r="479">
      <c r="A479" s="122">
        <v>42919.0</v>
      </c>
      <c r="B479" s="55" t="s">
        <v>364</v>
      </c>
      <c r="C479" s="304" t="s">
        <v>1386</v>
      </c>
      <c r="D479" s="55" t="s">
        <v>319</v>
      </c>
      <c r="E479" s="55">
        <v>-146.0</v>
      </c>
      <c r="F479" s="264">
        <v>93.62</v>
      </c>
      <c r="G479" s="128">
        <v>13669.24</v>
      </c>
      <c r="H479" s="310" t="s">
        <v>1398</v>
      </c>
      <c r="I479" s="138" t="str">
        <f t="shared" ref="I479:J479" si="483">IFS(AND($B479&lt;&gt;"",$E479&lt;&gt;""),IF(INDEX(N:N,MATCH($C479,$P:$P,0),1)&lt;&gt;"",$E479*INDEX(N:N,MATCH($C479,$P:$P,0),1)+$G479,""),AND($B479&lt;&gt;"",$D479="COST",$G479&lt;0),$G479,TRUE,)</f>
        <v/>
      </c>
      <c r="J479" s="138" t="str">
        <f t="shared" si="483"/>
        <v/>
      </c>
      <c r="K479" s="266" t="str">
        <f t="shared" si="3"/>
        <v>iShares 7-10 Year Treasury Bond ETF</v>
      </c>
      <c r="L479" s="156">
        <f t="shared" si="4"/>
        <v>0</v>
      </c>
      <c r="M479" s="156">
        <f t="shared" si="5"/>
        <v>-345.82</v>
      </c>
      <c r="N479" s="155" t="str">
        <f>IF($P479&lt;&gt;"",IF(MAXIFS(Investment!$M:$M,Investment!$H:$H,LEFT($P479,30)&amp;"*"),MAXIFS(Investment!$M:$M,Investment!$H:$H,LEFT($P479,30)&amp;"*"),),)</f>
        <v/>
      </c>
      <c r="O479" s="158" t="str">
        <f>IF($P479&lt;&gt;"",IF(MAXIFS(Investment!$AH:$AH,Investment!$H:$H,LEFT($P479,30)&amp;"*"),MAXIFS(Investment!$AH:$AH,Investment!$H:$H,LEFT($P479,30)&amp;"*"),),)</f>
        <v/>
      </c>
      <c r="P479" s="299"/>
      <c r="R479" s="52"/>
    </row>
    <row r="480">
      <c r="A480" s="122">
        <v>42919.0</v>
      </c>
      <c r="B480" s="55" t="s">
        <v>317</v>
      </c>
      <c r="C480" s="304" t="s">
        <v>1269</v>
      </c>
      <c r="D480" s="55" t="s">
        <v>330</v>
      </c>
      <c r="E480" s="55">
        <v>122.0</v>
      </c>
      <c r="F480" s="264">
        <v>10.38</v>
      </c>
      <c r="G480" s="128">
        <v>-1266.54</v>
      </c>
      <c r="H480" s="299" t="s">
        <v>1399</v>
      </c>
      <c r="I480" s="138" t="str">
        <f t="shared" ref="I480:J480" si="484">IFS(AND($B480&lt;&gt;"",$E480&lt;&gt;""),IF(INDEX(N:N,MATCH($C480,$P:$P,0),1)&lt;&gt;"",$E480*INDEX(N:N,MATCH($C480,$P:$P,0),1)+$G480,""),AND($B480&lt;&gt;"",$D480="COST",$G480&lt;0),$G480,TRUE,)</f>
        <v/>
      </c>
      <c r="J480" s="138" t="str">
        <f t="shared" si="484"/>
        <v/>
      </c>
      <c r="K480" s="266" t="str">
        <f t="shared" si="3"/>
        <v>iShares Gold Trust</v>
      </c>
      <c r="L480" s="156">
        <f t="shared" si="4"/>
        <v>0</v>
      </c>
      <c r="M480" s="156">
        <f t="shared" si="5"/>
        <v>140.23</v>
      </c>
      <c r="N480" s="155" t="str">
        <f>IF($P480&lt;&gt;"",IF(MAXIFS(Investment!$M:$M,Investment!$H:$H,LEFT($P480,30)&amp;"*"),MAXIFS(Investment!$M:$M,Investment!$H:$H,LEFT($P480,30)&amp;"*"),),)</f>
        <v/>
      </c>
      <c r="O480" s="158" t="str">
        <f>IF($P480&lt;&gt;"",IF(MAXIFS(Investment!$AH:$AH,Investment!$H:$H,LEFT($P480,30)&amp;"*"),MAXIFS(Investment!$AH:$AH,Investment!$H:$H,LEFT($P480,30)&amp;"*"),),)</f>
        <v/>
      </c>
      <c r="P480" s="299"/>
      <c r="R480" s="52"/>
    </row>
    <row r="481">
      <c r="A481" s="122">
        <v>42919.0</v>
      </c>
      <c r="B481" s="55" t="s">
        <v>343</v>
      </c>
      <c r="C481" s="304" t="s">
        <v>1400</v>
      </c>
      <c r="D481" s="55" t="s">
        <v>319</v>
      </c>
      <c r="E481" s="55">
        <v>-251.0</v>
      </c>
      <c r="F481" s="264">
        <v>109.93</v>
      </c>
      <c r="G481" s="128">
        <v>27592.74</v>
      </c>
      <c r="H481" s="299" t="s">
        <v>1401</v>
      </c>
      <c r="I481" s="138" t="str">
        <f t="shared" ref="I481:J481" si="485">IFS(AND($B481&lt;&gt;"",$E481&lt;&gt;""),IF(INDEX(N:N,MATCH($C481,$P:$P,0),1)&lt;&gt;"",$E481*INDEX(N:N,MATCH($C481,$P:$P,0),1)+$G481,""),AND($B481&lt;&gt;"",$D481="COST",$G481&lt;0),$G481,TRUE,)</f>
        <v/>
      </c>
      <c r="J481" s="138" t="str">
        <f t="shared" si="485"/>
        <v/>
      </c>
      <c r="K481" s="266" t="str">
        <f t="shared" si="3"/>
        <v>Vanguard Total Stock Market ETF</v>
      </c>
      <c r="L481" s="156">
        <f t="shared" si="4"/>
        <v>0</v>
      </c>
      <c r="M481" s="156">
        <f t="shared" si="5"/>
        <v>1880.34</v>
      </c>
      <c r="N481" s="155" t="str">
        <f>IF($P481&lt;&gt;"",IF(MAXIFS(Investment!$M:$M,Investment!$H:$H,LEFT($P481,30)&amp;"*"),MAXIFS(Investment!$M:$M,Investment!$H:$H,LEFT($P481,30)&amp;"*"),),)</f>
        <v/>
      </c>
      <c r="O481" s="158" t="str">
        <f>IF($P481&lt;&gt;"",IF(MAXIFS(Investment!$AH:$AH,Investment!$H:$H,LEFT($P481,30)&amp;"*"),MAXIFS(Investment!$AH:$AH,Investment!$H:$H,LEFT($P481,30)&amp;"*"),),)</f>
        <v/>
      </c>
      <c r="P481" s="299"/>
      <c r="R481" s="52"/>
    </row>
    <row r="482">
      <c r="A482" s="122">
        <v>42919.0</v>
      </c>
      <c r="B482" s="55" t="s">
        <v>268</v>
      </c>
      <c r="C482" s="304" t="s">
        <v>1196</v>
      </c>
      <c r="D482" s="55" t="s">
        <v>330</v>
      </c>
      <c r="E482" s="55">
        <v>67.0</v>
      </c>
      <c r="F482" s="264">
        <v>103.88</v>
      </c>
      <c r="G482" s="128">
        <v>-6959.73</v>
      </c>
      <c r="H482" s="299" t="s">
        <v>1402</v>
      </c>
      <c r="I482" s="138" t="str">
        <f t="shared" ref="I482:J482" si="486">IFS(AND($B482&lt;&gt;"",$E482&lt;&gt;""),IF(INDEX(N:N,MATCH($C482,$P:$P,0),1)&lt;&gt;"",$E482*INDEX(N:N,MATCH($C482,$P:$P,0),1)+$G482,""),AND($B482&lt;&gt;"",$D482="COST",$G482&lt;0),$G482,TRUE,)</f>
        <v/>
      </c>
      <c r="J482" s="138" t="str">
        <f t="shared" si="486"/>
        <v/>
      </c>
      <c r="K482" s="266" t="str">
        <f t="shared" si="3"/>
        <v>Vanguard Extended Duration Treasury ETF</v>
      </c>
      <c r="L482" s="156">
        <f t="shared" si="4"/>
        <v>0</v>
      </c>
      <c r="M482" s="156">
        <f t="shared" si="5"/>
        <v>-4941.36</v>
      </c>
      <c r="N482" s="155" t="str">
        <f>IF($P482&lt;&gt;"",IF(MAXIFS(Investment!$M:$M,Investment!$H:$H,LEFT($P482,30)&amp;"*"),MAXIFS(Investment!$M:$M,Investment!$H:$H,LEFT($P482,30)&amp;"*"),),)</f>
        <v/>
      </c>
      <c r="O482" s="158" t="str">
        <f>IF($P482&lt;&gt;"",IF(MAXIFS(Investment!$AH:$AH,Investment!$H:$H,LEFT($P482,30)&amp;"*"),MAXIFS(Investment!$AH:$AH,Investment!$H:$H,LEFT($P482,30)&amp;"*"),),)</f>
        <v/>
      </c>
      <c r="P482" s="299"/>
      <c r="R482" s="52"/>
    </row>
    <row r="483">
      <c r="A483" s="122">
        <v>42915.0</v>
      </c>
      <c r="B483" s="124" t="s">
        <v>343</v>
      </c>
      <c r="C483" s="130" t="s">
        <v>1400</v>
      </c>
      <c r="D483" s="298" t="s">
        <v>272</v>
      </c>
      <c r="E483" s="298"/>
      <c r="F483" s="264"/>
      <c r="G483" s="128">
        <v>-14.95</v>
      </c>
      <c r="H483" s="130" t="s">
        <v>1403</v>
      </c>
      <c r="I483" s="138" t="str">
        <f t="shared" ref="I483:J483" si="487">IFS(AND($B483&lt;&gt;"",$E483&lt;&gt;""),IF(INDEX(N:N,MATCH($C483,$P:$P,0),1)&lt;&gt;"",$E483*INDEX(N:N,MATCH($C483,$P:$P,0),1)+$G483,""),AND($B483&lt;&gt;"",$D483="COST",$G483&lt;0),$G483,TRUE,)</f>
        <v/>
      </c>
      <c r="J483" s="138" t="str">
        <f t="shared" si="487"/>
        <v/>
      </c>
      <c r="K483" s="266" t="str">
        <f t="shared" si="3"/>
        <v>Vanguard Total Stock Market ETF</v>
      </c>
      <c r="L483" s="156">
        <f t="shared" si="4"/>
        <v>0</v>
      </c>
      <c r="M483" s="156">
        <f t="shared" si="5"/>
        <v>1880.34</v>
      </c>
      <c r="N483" s="155" t="str">
        <f>IF($P483&lt;&gt;"",IF(MAXIFS(Investment!$M:$M,Investment!$H:$H,LEFT($P483,30)&amp;"*"),MAXIFS(Investment!$M:$M,Investment!$H:$H,LEFT($P483,30)&amp;"*"),),)</f>
        <v/>
      </c>
      <c r="O483" s="158" t="str">
        <f>IF($P483&lt;&gt;"",IF(MAXIFS(Investment!$AH:$AH,Investment!$H:$H,LEFT($P483,30)&amp;"*"),MAXIFS(Investment!$AH:$AH,Investment!$H:$H,LEFT($P483,30)&amp;"*"),),)</f>
        <v/>
      </c>
      <c r="P483" s="299"/>
      <c r="R483" s="52"/>
    </row>
    <row r="484">
      <c r="A484" s="122">
        <v>42914.0</v>
      </c>
      <c r="B484" s="124" t="s">
        <v>343</v>
      </c>
      <c r="C484" s="130" t="s">
        <v>1400</v>
      </c>
      <c r="D484" s="298" t="s">
        <v>272</v>
      </c>
      <c r="E484" s="298"/>
      <c r="F484" s="264"/>
      <c r="G484" s="128">
        <v>122.68</v>
      </c>
      <c r="H484" s="130" t="s">
        <v>1404</v>
      </c>
      <c r="I484" s="138" t="str">
        <f t="shared" ref="I484:J484" si="488">IFS(AND($B484&lt;&gt;"",$E484&lt;&gt;""),IF(INDEX(N:N,MATCH($C484,$P:$P,0),1)&lt;&gt;"",$E484*INDEX(N:N,MATCH($C484,$P:$P,0),1)+$G484,""),AND($B484&lt;&gt;"",$D484="COST",$G484&lt;0),$G484,TRUE,)</f>
        <v/>
      </c>
      <c r="J484" s="138" t="str">
        <f t="shared" si="488"/>
        <v/>
      </c>
      <c r="K484" s="266" t="str">
        <f t="shared" si="3"/>
        <v>Vanguard Total Stock Market ETF</v>
      </c>
      <c r="L484" s="156">
        <f t="shared" si="4"/>
        <v>0</v>
      </c>
      <c r="M484" s="156">
        <f t="shared" si="5"/>
        <v>1880.34</v>
      </c>
      <c r="N484" s="155" t="str">
        <f>IF($P484&lt;&gt;"",IF(MAXIFS(Investment!$M:$M,Investment!$H:$H,LEFT($P484,30)&amp;"*"),MAXIFS(Investment!$M:$M,Investment!$H:$H,LEFT($P484,30)&amp;"*"),),)</f>
        <v/>
      </c>
      <c r="O484" s="158" t="str">
        <f>IF($P484&lt;&gt;"",IF(MAXIFS(Investment!$AH:$AH,Investment!$H:$H,LEFT($P484,30)&amp;"*"),MAXIFS(Investment!$AH:$AH,Investment!$H:$H,LEFT($P484,30)&amp;"*"),),)</f>
        <v/>
      </c>
      <c r="P484" s="141"/>
      <c r="Q484" s="156"/>
      <c r="R484" s="279"/>
    </row>
    <row r="485">
      <c r="A485" s="122">
        <v>42901.0</v>
      </c>
      <c r="B485" s="55" t="s">
        <v>328</v>
      </c>
      <c r="C485" s="304" t="s">
        <v>1396</v>
      </c>
      <c r="D485" s="55" t="s">
        <v>330</v>
      </c>
      <c r="E485" s="55">
        <v>111.0</v>
      </c>
      <c r="F485" s="264">
        <v>18.09</v>
      </c>
      <c r="G485" s="128">
        <v>-2007.99</v>
      </c>
      <c r="H485" s="299" t="s">
        <v>1405</v>
      </c>
      <c r="I485" s="138" t="str">
        <f t="shared" ref="I485:J485" si="489">IFS(AND($B485&lt;&gt;"",$E485&lt;&gt;""),IF(INDEX(N:N,MATCH($C485,$P:$P,0),1)&lt;&gt;"",$E485*INDEX(N:N,MATCH($C485,$P:$P,0),1)+$G485,""),AND($B485&lt;&gt;"",$D485="COST",$G485&lt;0),$G485,TRUE,)</f>
        <v/>
      </c>
      <c r="J485" s="138" t="str">
        <f t="shared" si="489"/>
        <v/>
      </c>
      <c r="K485" s="266" t="str">
        <f t="shared" si="3"/>
        <v>iShares Diversified Commodity Swap UCITS ETF DE</v>
      </c>
      <c r="L485" s="156">
        <f t="shared" si="4"/>
        <v>0</v>
      </c>
      <c r="M485" s="156">
        <f t="shared" si="5"/>
        <v>-296.42</v>
      </c>
      <c r="N485" s="155" t="str">
        <f>IF($P485&lt;&gt;"",IF(MAXIFS(Investment!$M:$M,Investment!$H:$H,LEFT($P485,30)&amp;"*"),MAXIFS(Investment!$M:$M,Investment!$H:$H,LEFT($P485,30)&amp;"*"),),)</f>
        <v/>
      </c>
      <c r="O485" s="158" t="str">
        <f>IF($P485&lt;&gt;"",IF(MAXIFS(Investment!$AH:$AH,Investment!$H:$H,LEFT($P485,30)&amp;"*"),MAXIFS(Investment!$AH:$AH,Investment!$H:$H,LEFT($P485,30)&amp;"*"),),)</f>
        <v/>
      </c>
      <c r="P485" s="141"/>
      <c r="Q485" s="156"/>
      <c r="R485" s="279"/>
    </row>
    <row r="486">
      <c r="A486" s="122">
        <v>42901.0</v>
      </c>
      <c r="B486" s="55" t="s">
        <v>343</v>
      </c>
      <c r="C486" s="304" t="s">
        <v>1400</v>
      </c>
      <c r="D486" s="55" t="s">
        <v>330</v>
      </c>
      <c r="E486" s="55">
        <v>60.0</v>
      </c>
      <c r="F486" s="264">
        <v>112.02</v>
      </c>
      <c r="G486" s="128">
        <v>-6721.09</v>
      </c>
      <c r="H486" s="299" t="s">
        <v>1406</v>
      </c>
      <c r="I486" s="138" t="str">
        <f t="shared" ref="I486:J486" si="490">IFS(AND($B486&lt;&gt;"",$E486&lt;&gt;""),IF(INDEX(N:N,MATCH($C486,$P:$P,0),1)&lt;&gt;"",$E486*INDEX(N:N,MATCH($C486,$P:$P,0),1)+$G486,""),AND($B486&lt;&gt;"",$D486="COST",$G486&lt;0),$G486,TRUE,)</f>
        <v/>
      </c>
      <c r="J486" s="138" t="str">
        <f t="shared" si="490"/>
        <v/>
      </c>
      <c r="K486" s="266" t="str">
        <f t="shared" si="3"/>
        <v>Vanguard Total Stock Market ETF</v>
      </c>
      <c r="L486" s="156">
        <f t="shared" si="4"/>
        <v>0</v>
      </c>
      <c r="M486" s="156">
        <f t="shared" si="5"/>
        <v>1880.34</v>
      </c>
      <c r="N486" s="155" t="str">
        <f>IF($P486&lt;&gt;"",IF(MAXIFS(Investment!$M:$M,Investment!$H:$H,LEFT($P486,30)&amp;"*"),MAXIFS(Investment!$M:$M,Investment!$H:$H,LEFT($P486,30)&amp;"*"),),)</f>
        <v/>
      </c>
      <c r="O486" s="158" t="str">
        <f>IF($P486&lt;&gt;"",IF(MAXIFS(Investment!$AH:$AH,Investment!$H:$H,LEFT($P486,30)&amp;"*"),MAXIFS(Investment!$AH:$AH,Investment!$H:$H,LEFT($P486,30)&amp;"*"),),)</f>
        <v/>
      </c>
      <c r="P486" s="299"/>
      <c r="R486" s="52"/>
    </row>
    <row r="487">
      <c r="A487" s="122">
        <v>42901.0</v>
      </c>
      <c r="B487" s="55" t="s">
        <v>364</v>
      </c>
      <c r="C487" s="304" t="s">
        <v>1386</v>
      </c>
      <c r="D487" s="55" t="s">
        <v>330</v>
      </c>
      <c r="E487" s="55">
        <v>36.0</v>
      </c>
      <c r="F487" s="264">
        <v>96.68</v>
      </c>
      <c r="G487" s="128">
        <v>-3480.61</v>
      </c>
      <c r="H487" s="299" t="s">
        <v>1407</v>
      </c>
      <c r="I487" s="138" t="str">
        <f t="shared" ref="I487:J487" si="491">IFS(AND($B487&lt;&gt;"",$E487&lt;&gt;""),IF(INDEX(N:N,MATCH($C487,$P:$P,0),1)&lt;&gt;"",$E487*INDEX(N:N,MATCH($C487,$P:$P,0),1)+$G487,""),AND($B487&lt;&gt;"",$D487="COST",$G487&lt;0),$G487,TRUE,)</f>
        <v/>
      </c>
      <c r="J487" s="138" t="str">
        <f t="shared" si="491"/>
        <v/>
      </c>
      <c r="K487" s="266" t="str">
        <f t="shared" si="3"/>
        <v>iShares 7-10 Year Treasury Bond ETF</v>
      </c>
      <c r="L487" s="156">
        <f t="shared" si="4"/>
        <v>0</v>
      </c>
      <c r="M487" s="156">
        <f t="shared" si="5"/>
        <v>-345.82</v>
      </c>
      <c r="N487" s="155" t="str">
        <f>IF($P487&lt;&gt;"",IF(MAXIFS(Investment!$M:$M,Investment!$H:$H,LEFT($P487,30)&amp;"*"),MAXIFS(Investment!$M:$M,Investment!$H:$H,LEFT($P487,30)&amp;"*"),),)</f>
        <v/>
      </c>
      <c r="O487" s="158" t="str">
        <f>IF($P487&lt;&gt;"",IF(MAXIFS(Investment!$AH:$AH,Investment!$H:$H,LEFT($P487,30)&amp;"*"),MAXIFS(Investment!$AH:$AH,Investment!$H:$H,LEFT($P487,30)&amp;"*"),),)</f>
        <v/>
      </c>
      <c r="P487" s="299"/>
      <c r="R487" s="52"/>
    </row>
    <row r="488">
      <c r="A488" s="122">
        <v>42901.0</v>
      </c>
      <c r="B488" s="55" t="s">
        <v>268</v>
      </c>
      <c r="C488" s="304" t="s">
        <v>1196</v>
      </c>
      <c r="D488" s="55" t="s">
        <v>330</v>
      </c>
      <c r="E488" s="55">
        <v>66.0</v>
      </c>
      <c r="F488" s="264">
        <v>107.07</v>
      </c>
      <c r="G488" s="128">
        <v>-7066.71</v>
      </c>
      <c r="H488" s="299" t="s">
        <v>1408</v>
      </c>
      <c r="I488" s="138" t="str">
        <f t="shared" ref="I488:J488" si="492">IFS(AND($B488&lt;&gt;"",$E488&lt;&gt;""),IF(INDEX(N:N,MATCH($C488,$P:$P,0),1)&lt;&gt;"",$E488*INDEX(N:N,MATCH($C488,$P:$P,0),1)+$G488,""),AND($B488&lt;&gt;"",$D488="COST",$G488&lt;0),$G488,TRUE,)</f>
        <v/>
      </c>
      <c r="J488" s="138" t="str">
        <f t="shared" si="492"/>
        <v/>
      </c>
      <c r="K488" s="266" t="str">
        <f t="shared" si="3"/>
        <v>Vanguard Extended Duration Treasury ETF</v>
      </c>
      <c r="L488" s="156">
        <f t="shared" si="4"/>
        <v>0</v>
      </c>
      <c r="M488" s="156">
        <f t="shared" si="5"/>
        <v>-4941.36</v>
      </c>
      <c r="N488" s="155" t="str">
        <f>IF($P488&lt;&gt;"",IF(MAXIFS(Investment!$M:$M,Investment!$H:$H,LEFT($P488,30)&amp;"*"),MAXIFS(Investment!$M:$M,Investment!$H:$H,LEFT($P488,30)&amp;"*"),),)</f>
        <v/>
      </c>
      <c r="O488" s="158" t="str">
        <f>IF($P488&lt;&gt;"",IF(MAXIFS(Investment!$AH:$AH,Investment!$H:$H,LEFT($P488,30)&amp;"*"),MAXIFS(Investment!$AH:$AH,Investment!$H:$H,LEFT($P488,30)&amp;"*"),),)</f>
        <v/>
      </c>
      <c r="P488" s="299"/>
      <c r="R488" s="52"/>
    </row>
    <row r="489">
      <c r="A489" s="122">
        <v>42901.0</v>
      </c>
      <c r="B489" s="55" t="s">
        <v>317</v>
      </c>
      <c r="C489" s="304" t="s">
        <v>1269</v>
      </c>
      <c r="D489" s="55" t="s">
        <v>330</v>
      </c>
      <c r="E489" s="55">
        <v>167.0</v>
      </c>
      <c r="F489" s="264">
        <v>10.83</v>
      </c>
      <c r="G489" s="128">
        <v>-1808.18</v>
      </c>
      <c r="H489" s="299" t="s">
        <v>1409</v>
      </c>
      <c r="I489" s="138" t="str">
        <f t="shared" ref="I489:J489" si="493">IFS(AND($B489&lt;&gt;"",$E489&lt;&gt;""),IF(INDEX(N:N,MATCH($C489,$P:$P,0),1)&lt;&gt;"",$E489*INDEX(N:N,MATCH($C489,$P:$P,0),1)+$G489,""),AND($B489&lt;&gt;"",$D489="COST",$G489&lt;0),$G489,TRUE,)</f>
        <v/>
      </c>
      <c r="J489" s="138" t="str">
        <f t="shared" si="493"/>
        <v/>
      </c>
      <c r="K489" s="266" t="str">
        <f t="shared" si="3"/>
        <v>iShares Gold Trust</v>
      </c>
      <c r="L489" s="156">
        <f t="shared" si="4"/>
        <v>0</v>
      </c>
      <c r="M489" s="156">
        <f t="shared" si="5"/>
        <v>140.23</v>
      </c>
      <c r="N489" s="155" t="str">
        <f>IF($P489&lt;&gt;"",IF(MAXIFS(Investment!$M:$M,Investment!$H:$H,LEFT($P489,30)&amp;"*"),MAXIFS(Investment!$M:$M,Investment!$H:$H,LEFT($P489,30)&amp;"*"),),)</f>
        <v/>
      </c>
      <c r="O489" s="158" t="str">
        <f>IF($P489&lt;&gt;"",IF(MAXIFS(Investment!$AH:$AH,Investment!$H:$H,LEFT($P489,30)&amp;"*"),MAXIFS(Investment!$AH:$AH,Investment!$H:$H,LEFT($P489,30)&amp;"*"),),)</f>
        <v/>
      </c>
      <c r="P489" s="299"/>
      <c r="R489" s="52"/>
    </row>
    <row r="490">
      <c r="A490" s="122">
        <v>42895.0</v>
      </c>
      <c r="B490" s="124" t="s">
        <v>364</v>
      </c>
      <c r="C490" s="130" t="s">
        <v>1386</v>
      </c>
      <c r="D490" s="298" t="s">
        <v>272</v>
      </c>
      <c r="E490" s="298"/>
      <c r="F490" s="264"/>
      <c r="G490" s="128">
        <v>-1.66</v>
      </c>
      <c r="H490" s="130" t="s">
        <v>1410</v>
      </c>
      <c r="I490" s="138" t="str">
        <f t="shared" ref="I490:J490" si="494">IFS(AND($B490&lt;&gt;"",$E490&lt;&gt;""),IF(INDEX(N:N,MATCH($C490,$P:$P,0),1)&lt;&gt;"",$E490*INDEX(N:N,MATCH($C490,$P:$P,0),1)+$G490,""),AND($B490&lt;&gt;"",$D490="COST",$G490&lt;0),$G490,TRUE,)</f>
        <v/>
      </c>
      <c r="J490" s="138" t="str">
        <f t="shared" si="494"/>
        <v/>
      </c>
      <c r="K490" s="266" t="str">
        <f t="shared" si="3"/>
        <v>iShares 7-10 Year Treasury Bond ETF</v>
      </c>
      <c r="L490" s="156">
        <f t="shared" si="4"/>
        <v>0</v>
      </c>
      <c r="M490" s="156">
        <f t="shared" si="5"/>
        <v>-345.82</v>
      </c>
      <c r="N490" s="155" t="str">
        <f>IF($P490&lt;&gt;"",IF(MAXIFS(Investment!$M:$M,Investment!$H:$H,LEFT($P490,30)&amp;"*"),MAXIFS(Investment!$M:$M,Investment!$H:$H,LEFT($P490,30)&amp;"*"),),)</f>
        <v/>
      </c>
      <c r="O490" s="158" t="str">
        <f>IF($P490&lt;&gt;"",IF(MAXIFS(Investment!$AH:$AH,Investment!$H:$H,LEFT($P490,30)&amp;"*"),MAXIFS(Investment!$AH:$AH,Investment!$H:$H,LEFT($P490,30)&amp;"*"),),)</f>
        <v/>
      </c>
      <c r="P490" s="299"/>
      <c r="R490" s="52"/>
    </row>
    <row r="491">
      <c r="A491" s="122">
        <v>42894.0</v>
      </c>
      <c r="B491" s="124" t="s">
        <v>364</v>
      </c>
      <c r="C491" s="130" t="s">
        <v>1386</v>
      </c>
      <c r="D491" s="298" t="s">
        <v>272</v>
      </c>
      <c r="E491" s="298"/>
      <c r="F491" s="264"/>
      <c r="G491" s="128">
        <v>15.3</v>
      </c>
      <c r="H491" s="130" t="s">
        <v>1411</v>
      </c>
      <c r="I491" s="138" t="str">
        <f t="shared" ref="I491:J491" si="495">IFS(AND($B491&lt;&gt;"",$E491&lt;&gt;""),IF(INDEX(N:N,MATCH($C491,$P:$P,0),1)&lt;&gt;"",$E491*INDEX(N:N,MATCH($C491,$P:$P,0),1)+$G491,""),AND($B491&lt;&gt;"",$D491="COST",$G491&lt;0),$G491,TRUE,)</f>
        <v/>
      </c>
      <c r="J491" s="138" t="str">
        <f t="shared" si="495"/>
        <v/>
      </c>
      <c r="K491" s="266" t="str">
        <f t="shared" si="3"/>
        <v>iShares 7-10 Year Treasury Bond ETF</v>
      </c>
      <c r="L491" s="156">
        <f t="shared" si="4"/>
        <v>0</v>
      </c>
      <c r="M491" s="156">
        <f t="shared" si="5"/>
        <v>-345.82</v>
      </c>
      <c r="N491" s="155" t="str">
        <f>IF($P491&lt;&gt;"",IF(MAXIFS(Investment!$M:$M,Investment!$H:$H,LEFT($P491,30)&amp;"*"),MAXIFS(Investment!$M:$M,Investment!$H:$H,LEFT($P491,30)&amp;"*"),),)</f>
        <v/>
      </c>
      <c r="O491" s="158" t="str">
        <f>IF($P491&lt;&gt;"",IF(MAXIFS(Investment!$AH:$AH,Investment!$H:$H,LEFT($P491,30)&amp;"*"),MAXIFS(Investment!$AH:$AH,Investment!$H:$H,LEFT($P491,30)&amp;"*"),),)</f>
        <v/>
      </c>
      <c r="P491" s="141"/>
      <c r="Q491" s="156"/>
      <c r="R491" s="279"/>
    </row>
    <row r="492">
      <c r="A492" s="122">
        <v>42887.0</v>
      </c>
      <c r="B492" s="124"/>
      <c r="C492" s="130"/>
      <c r="D492" s="298" t="s">
        <v>378</v>
      </c>
      <c r="E492" s="298"/>
      <c r="F492" s="264"/>
      <c r="G492" s="128">
        <v>-5.0</v>
      </c>
      <c r="H492" s="130" t="s">
        <v>915</v>
      </c>
      <c r="I492" s="138" t="str">
        <f t="shared" ref="I492:J492" si="496">IFS(AND($B492&lt;&gt;"",$E492&lt;&gt;""),IF(INDEX(N:N,MATCH($C492,$P:$P,0),1)&lt;&gt;"",$E492*INDEX(N:N,MATCH($C492,$P:$P,0),1)+$G492,""),AND($B492&lt;&gt;"",$D492="COST",$G492&lt;0),$G492,TRUE,)</f>
        <v/>
      </c>
      <c r="J492" s="138" t="str">
        <f t="shared" si="496"/>
        <v/>
      </c>
      <c r="K492" s="266" t="str">
        <f t="shared" si="3"/>
        <v/>
      </c>
      <c r="L492" s="156" t="str">
        <f t="shared" si="4"/>
        <v/>
      </c>
      <c r="M492" s="156" t="str">
        <f t="shared" si="5"/>
        <v/>
      </c>
      <c r="N492" s="155" t="str">
        <f>IF($P492&lt;&gt;"",IF(MAXIFS(Investment!$M:$M,Investment!$H:$H,LEFT($P492,30)&amp;"*"),MAXIFS(Investment!$M:$M,Investment!$H:$H,LEFT($P492,30)&amp;"*"),),)</f>
        <v/>
      </c>
      <c r="O492" s="158" t="str">
        <f>IF($P492&lt;&gt;"",IF(MAXIFS(Investment!$AH:$AH,Investment!$H:$H,LEFT($P492,30)&amp;"*"),MAXIFS(Investment!$AH:$AH,Investment!$H:$H,LEFT($P492,30)&amp;"*"),),)</f>
        <v/>
      </c>
      <c r="P492" s="141"/>
      <c r="Q492" s="156"/>
      <c r="R492" s="279"/>
    </row>
    <row r="493" ht="1.5" customHeight="1">
      <c r="A493" s="122">
        <v>42887.0</v>
      </c>
      <c r="B493" s="124"/>
      <c r="C493" s="130"/>
      <c r="D493" s="298" t="s">
        <v>378</v>
      </c>
      <c r="E493" s="298"/>
      <c r="F493" s="264"/>
      <c r="G493" s="128">
        <v>-30.68</v>
      </c>
      <c r="H493" s="130" t="s">
        <v>1412</v>
      </c>
      <c r="I493" s="138" t="str">
        <f t="shared" ref="I493:J493" si="497">IFS(AND($B493&lt;&gt;"",$E493&lt;&gt;""),IF(INDEX(N:N,MATCH($C493,$P:$P,0),1)&lt;&gt;"",$E493*INDEX(N:N,MATCH($C493,$P:$P,0),1)+$G493,""),AND($B493&lt;&gt;"",$D493="COST",$G493&lt;0),$G493,TRUE,)</f>
        <v/>
      </c>
      <c r="J493" s="138" t="str">
        <f t="shared" si="497"/>
        <v/>
      </c>
      <c r="K493" s="266" t="str">
        <f t="shared" si="3"/>
        <v/>
      </c>
      <c r="L493" s="156" t="str">
        <f t="shared" si="4"/>
        <v/>
      </c>
      <c r="M493" s="156" t="str">
        <f t="shared" si="5"/>
        <v/>
      </c>
      <c r="N493" s="155" t="str">
        <f>IF($P493&lt;&gt;"",IF(MAXIFS(Investment!$M:$M,Investment!$H:$H,LEFT($P493,30)&amp;"*"),MAXIFS(Investment!$M:$M,Investment!$H:$H,LEFT($P493,30)&amp;"*"),),)</f>
        <v/>
      </c>
      <c r="O493" s="158" t="str">
        <f>IF($P493&lt;&gt;"",IF(MAXIFS(Investment!$AH:$AH,Investment!$H:$H,LEFT($P493,30)&amp;"*"),MAXIFS(Investment!$AH:$AH,Investment!$H:$H,LEFT($P493,30)&amp;"*"),),)</f>
        <v/>
      </c>
      <c r="P493" s="141"/>
      <c r="Q493" s="156"/>
      <c r="R493" s="279"/>
    </row>
    <row r="494" ht="1.5" customHeight="1">
      <c r="A494" s="122">
        <v>42871.0</v>
      </c>
      <c r="B494" s="55" t="s">
        <v>268</v>
      </c>
      <c r="C494" s="304" t="s">
        <v>1196</v>
      </c>
      <c r="D494" s="55" t="s">
        <v>330</v>
      </c>
      <c r="E494" s="55">
        <v>10.0</v>
      </c>
      <c r="F494" s="264">
        <v>101.51</v>
      </c>
      <c r="G494" s="128">
        <v>-1015.08</v>
      </c>
      <c r="H494" s="299" t="s">
        <v>1413</v>
      </c>
      <c r="I494" s="138" t="str">
        <f t="shared" ref="I494:J494" si="498">IFS(AND($B494&lt;&gt;"",$E494&lt;&gt;""),IF(INDEX(N:N,MATCH($C494,$P:$P,0),1)&lt;&gt;"",$E494*INDEX(N:N,MATCH($C494,$P:$P,0),1)+$G494,""),AND($B494&lt;&gt;"",$D494="COST",$G494&lt;0),$G494,TRUE,)</f>
        <v/>
      </c>
      <c r="J494" s="138" t="str">
        <f t="shared" si="498"/>
        <v/>
      </c>
      <c r="K494" s="266" t="str">
        <f t="shared" si="3"/>
        <v>Vanguard Extended Duration Treasury ETF</v>
      </c>
      <c r="L494" s="156">
        <f t="shared" si="4"/>
        <v>0</v>
      </c>
      <c r="M494" s="156">
        <f t="shared" si="5"/>
        <v>-4941.36</v>
      </c>
      <c r="N494" s="155" t="str">
        <f>IF($P494&lt;&gt;"",IF(MAXIFS(Investment!$M:$M,Investment!$H:$H,LEFT($P494,30)&amp;"*"),MAXIFS(Investment!$M:$M,Investment!$H:$H,LEFT($P494,30)&amp;"*"),),)</f>
        <v/>
      </c>
      <c r="O494" s="158" t="str">
        <f>IF($P494&lt;&gt;"",IF(MAXIFS(Investment!$AH:$AH,Investment!$H:$H,LEFT($P494,30)&amp;"*"),MAXIFS(Investment!$AH:$AH,Investment!$H:$H,LEFT($P494,30)&amp;"*"),),)</f>
        <v/>
      </c>
      <c r="P494" s="141"/>
      <c r="Q494" s="156"/>
      <c r="R494" s="279"/>
    </row>
    <row r="495" ht="1.5" customHeight="1">
      <c r="A495" s="122">
        <v>42870.0</v>
      </c>
      <c r="B495" s="170"/>
      <c r="C495" s="311"/>
      <c r="D495" s="55" t="s">
        <v>312</v>
      </c>
      <c r="E495" s="170"/>
      <c r="F495" s="264"/>
      <c r="G495" s="128">
        <v>30.0</v>
      </c>
      <c r="H495" s="299" t="s">
        <v>1414</v>
      </c>
      <c r="I495" s="138" t="str">
        <f t="shared" ref="I495:J495" si="499">IFS(AND($B495&lt;&gt;"",$E495&lt;&gt;""),IF(INDEX(N:N,MATCH($C495,$P:$P,0),1)&lt;&gt;"",$E495*INDEX(N:N,MATCH($C495,$P:$P,0),1)+$G495,""),AND($B495&lt;&gt;"",$D495="COST",$G495&lt;0),$G495,TRUE,)</f>
        <v/>
      </c>
      <c r="J495" s="138" t="str">
        <f t="shared" si="499"/>
        <v/>
      </c>
      <c r="K495" s="266" t="str">
        <f t="shared" si="3"/>
        <v/>
      </c>
      <c r="L495" s="156" t="str">
        <f t="shared" si="4"/>
        <v/>
      </c>
      <c r="M495" s="156" t="str">
        <f t="shared" si="5"/>
        <v/>
      </c>
      <c r="N495" s="155" t="str">
        <f>IF($P495&lt;&gt;"",IF(MAXIFS(Investment!$M:$M,Investment!$H:$H,LEFT($P495,30)&amp;"*"),MAXIFS(Investment!$M:$M,Investment!$H:$H,LEFT($P495,30)&amp;"*"),),)</f>
        <v/>
      </c>
      <c r="O495" s="158" t="str">
        <f>IF($P495&lt;&gt;"",IF(MAXIFS(Investment!$AH:$AH,Investment!$H:$H,LEFT($P495,30)&amp;"*"),MAXIFS(Investment!$AH:$AH,Investment!$H:$H,LEFT($P495,30)&amp;"*"),),)</f>
        <v/>
      </c>
      <c r="P495" s="299"/>
      <c r="R495" s="52"/>
    </row>
    <row r="496">
      <c r="A496" s="122">
        <v>42867.0</v>
      </c>
      <c r="B496" s="124"/>
      <c r="C496" s="130"/>
      <c r="D496" s="298" t="s">
        <v>312</v>
      </c>
      <c r="E496" s="298"/>
      <c r="F496" s="264"/>
      <c r="G496" s="128">
        <v>500.0</v>
      </c>
      <c r="H496" s="130" t="s">
        <v>1415</v>
      </c>
      <c r="I496" s="138" t="str">
        <f t="shared" ref="I496:J496" si="500">IFS(AND($B496&lt;&gt;"",$E496&lt;&gt;""),IF(INDEX(N:N,MATCH($C496,$P:$P,0),1)&lt;&gt;"",$E496*INDEX(N:N,MATCH($C496,$P:$P,0),1)+$G496,""),AND($B496&lt;&gt;"",$D496="COST",$G496&lt;0),$G496,TRUE,)</f>
        <v/>
      </c>
      <c r="J496" s="138" t="str">
        <f t="shared" si="500"/>
        <v/>
      </c>
      <c r="K496" s="266" t="str">
        <f t="shared" si="3"/>
        <v/>
      </c>
      <c r="L496" s="156" t="str">
        <f t="shared" si="4"/>
        <v/>
      </c>
      <c r="M496" s="156" t="str">
        <f t="shared" si="5"/>
        <v/>
      </c>
      <c r="N496" s="155" t="str">
        <f>IF($P496&lt;&gt;"",IF(MAXIFS(Investment!$M:$M,Investment!$H:$H,LEFT($P496,30)&amp;"*"),MAXIFS(Investment!$M:$M,Investment!$H:$H,LEFT($P496,30)&amp;"*"),),)</f>
        <v/>
      </c>
      <c r="O496" s="158" t="str">
        <f>IF($P496&lt;&gt;"",IF(MAXIFS(Investment!$AH:$AH,Investment!$H:$H,LEFT($P496,30)&amp;"*"),MAXIFS(Investment!$AH:$AH,Investment!$H:$H,LEFT($P496,30)&amp;"*"),),)</f>
        <v/>
      </c>
      <c r="P496" s="299"/>
      <c r="R496" s="52"/>
    </row>
    <row r="497" ht="1.5" customHeight="1">
      <c r="A497" s="122">
        <v>42864.0</v>
      </c>
      <c r="B497" s="124"/>
      <c r="C497" s="130"/>
      <c r="D497" s="298" t="s">
        <v>312</v>
      </c>
      <c r="E497" s="298"/>
      <c r="F497" s="264"/>
      <c r="G497" s="128">
        <v>500.0</v>
      </c>
      <c r="H497" s="130" t="s">
        <v>1415</v>
      </c>
      <c r="I497" s="138" t="str">
        <f t="shared" ref="I497:J497" si="501">IFS(AND($B497&lt;&gt;"",$E497&lt;&gt;""),IF(INDEX(N:N,MATCH($C497,$P:$P,0),1)&lt;&gt;"",$E497*INDEX(N:N,MATCH($C497,$P:$P,0),1)+$G497,""),AND($B497&lt;&gt;"",$D497="COST",$G497&lt;0),$G497,TRUE,)</f>
        <v/>
      </c>
      <c r="J497" s="138" t="str">
        <f t="shared" si="501"/>
        <v/>
      </c>
      <c r="K497" s="266" t="str">
        <f t="shared" si="3"/>
        <v/>
      </c>
      <c r="L497" s="156" t="str">
        <f t="shared" si="4"/>
        <v/>
      </c>
      <c r="M497" s="156" t="str">
        <f t="shared" si="5"/>
        <v/>
      </c>
      <c r="N497" s="155" t="str">
        <f>IF($P497&lt;&gt;"",IF(MAXIFS(Investment!$M:$M,Investment!$H:$H,LEFT($P497,30)&amp;"*"),MAXIFS(Investment!$M:$M,Investment!$H:$H,LEFT($P497,30)&amp;"*"),),)</f>
        <v/>
      </c>
      <c r="O497" s="158" t="str">
        <f>IF($P497&lt;&gt;"",IF(MAXIFS(Investment!$AH:$AH,Investment!$H:$H,LEFT($P497,30)&amp;"*"),MAXIFS(Investment!$AH:$AH,Investment!$H:$H,LEFT($P497,30)&amp;"*"),),)</f>
        <v/>
      </c>
      <c r="P497" s="141"/>
      <c r="Q497" s="156"/>
      <c r="R497" s="279"/>
    </row>
    <row r="498" ht="1.5" customHeight="1">
      <c r="A498" s="122">
        <v>42858.0</v>
      </c>
      <c r="B498" s="55" t="s">
        <v>328</v>
      </c>
      <c r="C498" s="304" t="s">
        <v>1396</v>
      </c>
      <c r="D498" s="55" t="s">
        <v>330</v>
      </c>
      <c r="E498" s="55">
        <v>98.0</v>
      </c>
      <c r="F498" s="264">
        <v>19.25</v>
      </c>
      <c r="G498" s="128">
        <v>-1886.5</v>
      </c>
      <c r="H498" s="299" t="s">
        <v>1416</v>
      </c>
      <c r="I498" s="138" t="str">
        <f t="shared" ref="I498:J498" si="502">IFS(AND($B498&lt;&gt;"",$E498&lt;&gt;""),IF(INDEX(N:N,MATCH($C498,$P:$P,0),1)&lt;&gt;"",$E498*INDEX(N:N,MATCH($C498,$P:$P,0),1)+$G498,""),AND($B498&lt;&gt;"",$D498="COST",$G498&lt;0),$G498,TRUE,)</f>
        <v/>
      </c>
      <c r="J498" s="138" t="str">
        <f t="shared" si="502"/>
        <v/>
      </c>
      <c r="K498" s="266" t="str">
        <f t="shared" si="3"/>
        <v>iShares Diversified Commodity Swap UCITS ETF DE</v>
      </c>
      <c r="L498" s="156">
        <f t="shared" si="4"/>
        <v>0</v>
      </c>
      <c r="M498" s="156">
        <f t="shared" si="5"/>
        <v>-296.42</v>
      </c>
      <c r="N498" s="155" t="str">
        <f>IF($P498&lt;&gt;"",IF(MAXIFS(Investment!$M:$M,Investment!$H:$H,LEFT($P498,30)&amp;"*"),MAXIFS(Investment!$M:$M,Investment!$H:$H,LEFT($P498,30)&amp;"*"),),)</f>
        <v/>
      </c>
      <c r="O498" s="158" t="str">
        <f>IF($P498&lt;&gt;"",IF(MAXIFS(Investment!$AH:$AH,Investment!$H:$H,LEFT($P498,30)&amp;"*"),MAXIFS(Investment!$AH:$AH,Investment!$H:$H,LEFT($P498,30)&amp;"*"),),)</f>
        <v/>
      </c>
      <c r="P498" s="141"/>
      <c r="Q498" s="156"/>
      <c r="R498" s="279"/>
    </row>
    <row r="499" ht="1.5" customHeight="1">
      <c r="A499" s="122">
        <v>42858.0</v>
      </c>
      <c r="B499" s="55" t="s">
        <v>317</v>
      </c>
      <c r="C499" s="304" t="s">
        <v>1269</v>
      </c>
      <c r="D499" s="55" t="s">
        <v>330</v>
      </c>
      <c r="E499" s="55">
        <v>195.0</v>
      </c>
      <c r="F499" s="264">
        <v>11.05</v>
      </c>
      <c r="G499" s="128">
        <v>-2154.76</v>
      </c>
      <c r="H499" s="299" t="s">
        <v>1417</v>
      </c>
      <c r="I499" s="138" t="str">
        <f t="shared" ref="I499:J499" si="503">IFS(AND($B499&lt;&gt;"",$E499&lt;&gt;""),IF(INDEX(N:N,MATCH($C499,$P:$P,0),1)&lt;&gt;"",$E499*INDEX(N:N,MATCH($C499,$P:$P,0),1)+$G499,""),AND($B499&lt;&gt;"",$D499="COST",$G499&lt;0),$G499,TRUE,)</f>
        <v/>
      </c>
      <c r="J499" s="138" t="str">
        <f t="shared" si="503"/>
        <v/>
      </c>
      <c r="K499" s="266" t="str">
        <f t="shared" si="3"/>
        <v>iShares Gold Trust</v>
      </c>
      <c r="L499" s="156">
        <f t="shared" si="4"/>
        <v>0</v>
      </c>
      <c r="M499" s="156">
        <f t="shared" si="5"/>
        <v>140.23</v>
      </c>
      <c r="N499" s="155" t="str">
        <f>IF($P499&lt;&gt;"",IF(MAXIFS(Investment!$M:$M,Investment!$H:$H,LEFT($P499,30)&amp;"*"),MAXIFS(Investment!$M:$M,Investment!$H:$H,LEFT($P499,30)&amp;"*"),),)</f>
        <v/>
      </c>
      <c r="O499" s="158" t="str">
        <f>IF($P499&lt;&gt;"",IF(MAXIFS(Investment!$AH:$AH,Investment!$H:$H,LEFT($P499,30)&amp;"*"),MAXIFS(Investment!$AH:$AH,Investment!$H:$H,LEFT($P499,30)&amp;"*"),),)</f>
        <v/>
      </c>
      <c r="P499" s="299"/>
      <c r="R499" s="52"/>
    </row>
    <row r="500">
      <c r="A500" s="122">
        <v>42858.0</v>
      </c>
      <c r="B500" s="55" t="s">
        <v>364</v>
      </c>
      <c r="C500" s="304" t="s">
        <v>1386</v>
      </c>
      <c r="D500" s="55" t="s">
        <v>330</v>
      </c>
      <c r="E500" s="55">
        <v>44.0</v>
      </c>
      <c r="F500" s="264">
        <v>97.62</v>
      </c>
      <c r="G500" s="128">
        <v>-4295.13</v>
      </c>
      <c r="H500" s="299" t="s">
        <v>1418</v>
      </c>
      <c r="I500" s="138" t="str">
        <f t="shared" ref="I500:J500" si="504">IFS(AND($B500&lt;&gt;"",$E500&lt;&gt;""),IF(INDEX(N:N,MATCH($C500,$P:$P,0),1)&lt;&gt;"",$E500*INDEX(N:N,MATCH($C500,$P:$P,0),1)+$G500,""),AND($B500&lt;&gt;"",$D500="COST",$G500&lt;0),$G500,TRUE,)</f>
        <v/>
      </c>
      <c r="J500" s="138" t="str">
        <f t="shared" si="504"/>
        <v/>
      </c>
      <c r="K500" s="266" t="str">
        <f t="shared" si="3"/>
        <v>iShares 7-10 Year Treasury Bond ETF</v>
      </c>
      <c r="L500" s="156">
        <f t="shared" si="4"/>
        <v>0</v>
      </c>
      <c r="M500" s="156">
        <f t="shared" si="5"/>
        <v>-345.82</v>
      </c>
      <c r="N500" s="155" t="str">
        <f>IF($P500&lt;&gt;"",IF(MAXIFS(Investment!$M:$M,Investment!$H:$H,LEFT($P500,30)&amp;"*"),MAXIFS(Investment!$M:$M,Investment!$H:$H,LEFT($P500,30)&amp;"*"),),)</f>
        <v/>
      </c>
      <c r="O500" s="158" t="str">
        <f>IF($P500&lt;&gt;"",IF(MAXIFS(Investment!$AH:$AH,Investment!$H:$H,LEFT($P500,30)&amp;"*"),MAXIFS(Investment!$AH:$AH,Investment!$H:$H,LEFT($P500,30)&amp;"*"),),)</f>
        <v/>
      </c>
      <c r="P500" s="299"/>
      <c r="R500" s="52"/>
    </row>
    <row r="501">
      <c r="A501" s="122">
        <v>42858.0</v>
      </c>
      <c r="B501" s="55" t="s">
        <v>343</v>
      </c>
      <c r="C501" s="304" t="s">
        <v>1400</v>
      </c>
      <c r="D501" s="55" t="s">
        <v>330</v>
      </c>
      <c r="E501" s="55">
        <v>76.0</v>
      </c>
      <c r="F501" s="264">
        <v>112.55</v>
      </c>
      <c r="G501" s="128">
        <v>-8554.15</v>
      </c>
      <c r="H501" s="299" t="s">
        <v>1419</v>
      </c>
      <c r="I501" s="138" t="str">
        <f t="shared" ref="I501:J501" si="505">IFS(AND($B501&lt;&gt;"",$E501&lt;&gt;""),IF(INDEX(N:N,MATCH($C501,$P:$P,0),1)&lt;&gt;"",$E501*INDEX(N:N,MATCH($C501,$P:$P,0),1)+$G501,""),AND($B501&lt;&gt;"",$D501="COST",$G501&lt;0),$G501,TRUE,)</f>
        <v/>
      </c>
      <c r="J501" s="138" t="str">
        <f t="shared" si="505"/>
        <v/>
      </c>
      <c r="K501" s="266" t="str">
        <f t="shared" si="3"/>
        <v>Vanguard Total Stock Market ETF</v>
      </c>
      <c r="L501" s="156">
        <f t="shared" si="4"/>
        <v>0</v>
      </c>
      <c r="M501" s="156">
        <f t="shared" si="5"/>
        <v>1880.34</v>
      </c>
      <c r="N501" s="155" t="str">
        <f>IF($P501&lt;&gt;"",IF(MAXIFS(Investment!$M:$M,Investment!$H:$H,LEFT($P501,30)&amp;"*"),MAXIFS(Investment!$M:$M,Investment!$H:$H,LEFT($P501,30)&amp;"*"),),)</f>
        <v/>
      </c>
      <c r="O501" s="158" t="str">
        <f>IF($P501&lt;&gt;"",IF(MAXIFS(Investment!$AH:$AH,Investment!$H:$H,LEFT($P501,30)&amp;"*"),MAXIFS(Investment!$AH:$AH,Investment!$H:$H,LEFT($P501,30)&amp;"*"),),)</f>
        <v/>
      </c>
      <c r="P501" s="299"/>
      <c r="R501" s="52"/>
    </row>
    <row r="502">
      <c r="A502" s="122">
        <v>42858.0</v>
      </c>
      <c r="B502" s="55" t="s">
        <v>268</v>
      </c>
      <c r="C502" s="304" t="s">
        <v>1196</v>
      </c>
      <c r="D502" s="55" t="s">
        <v>330</v>
      </c>
      <c r="E502" s="55">
        <v>111.0</v>
      </c>
      <c r="F502" s="264">
        <v>104.22</v>
      </c>
      <c r="G502" s="128">
        <v>-11568.3</v>
      </c>
      <c r="H502" s="299" t="s">
        <v>1420</v>
      </c>
      <c r="I502" s="138" t="str">
        <f t="shared" ref="I502:J502" si="506">IFS(AND($B502&lt;&gt;"",$E502&lt;&gt;""),IF(INDEX(N:N,MATCH($C502,$P:$P,0),1)&lt;&gt;"",$E502*INDEX(N:N,MATCH($C502,$P:$P,0),1)+$G502,""),AND($B502&lt;&gt;"",$D502="COST",$G502&lt;0),$G502,TRUE,)</f>
        <v/>
      </c>
      <c r="J502" s="138" t="str">
        <f t="shared" si="506"/>
        <v/>
      </c>
      <c r="K502" s="266" t="str">
        <f t="shared" si="3"/>
        <v>Vanguard Extended Duration Treasury ETF</v>
      </c>
      <c r="L502" s="156">
        <f t="shared" si="4"/>
        <v>0</v>
      </c>
      <c r="M502" s="156">
        <f t="shared" si="5"/>
        <v>-4941.36</v>
      </c>
      <c r="N502" s="155" t="str">
        <f>IF($P502&lt;&gt;"",IF(MAXIFS(Investment!$M:$M,Investment!$H:$H,LEFT($P502,30)&amp;"*"),MAXIFS(Investment!$M:$M,Investment!$H:$H,LEFT($P502,30)&amp;"*"),),)</f>
        <v/>
      </c>
      <c r="O502" s="158" t="str">
        <f>IF($P502&lt;&gt;"",IF(MAXIFS(Investment!$AH:$AH,Investment!$H:$H,LEFT($P502,30)&amp;"*"),MAXIFS(Investment!$AH:$AH,Investment!$H:$H,LEFT($P502,30)&amp;"*"),),)</f>
        <v/>
      </c>
      <c r="P502" s="299"/>
      <c r="R502" s="52"/>
    </row>
    <row r="503">
      <c r="A503" s="122">
        <v>42857.0</v>
      </c>
      <c r="B503" s="55" t="s">
        <v>328</v>
      </c>
      <c r="C503" s="304" t="s">
        <v>1396</v>
      </c>
      <c r="D503" s="55" t="s">
        <v>330</v>
      </c>
      <c r="E503" s="55">
        <v>181.0</v>
      </c>
      <c r="F503" s="264">
        <v>19.31</v>
      </c>
      <c r="G503" s="128">
        <v>-3495.11</v>
      </c>
      <c r="H503" s="299" t="s">
        <v>1421</v>
      </c>
      <c r="I503" s="138" t="str">
        <f t="shared" ref="I503:J503" si="507">IFS(AND($B503&lt;&gt;"",$E503&lt;&gt;""),IF(INDEX(N:N,MATCH($C503,$P:$P,0),1)&lt;&gt;"",$E503*INDEX(N:N,MATCH($C503,$P:$P,0),1)+$G503,""),AND($B503&lt;&gt;"",$D503="COST",$G503&lt;0),$G503,TRUE,)</f>
        <v/>
      </c>
      <c r="J503" s="138" t="str">
        <f t="shared" si="507"/>
        <v/>
      </c>
      <c r="K503" s="266" t="str">
        <f t="shared" si="3"/>
        <v>iShares Diversified Commodity Swap UCITS ETF DE</v>
      </c>
      <c r="L503" s="156">
        <f t="shared" si="4"/>
        <v>0</v>
      </c>
      <c r="M503" s="156">
        <f t="shared" si="5"/>
        <v>-296.42</v>
      </c>
      <c r="N503" s="155" t="str">
        <f>IF($P503&lt;&gt;"",IF(MAXIFS(Investment!$M:$M,Investment!$H:$H,LEFT($P503,30)&amp;"*"),MAXIFS(Investment!$M:$M,Investment!$H:$H,LEFT($P503,30)&amp;"*"),),)</f>
        <v/>
      </c>
      <c r="O503" s="158" t="str">
        <f>IF($P503&lt;&gt;"",IF(MAXIFS(Investment!$AH:$AH,Investment!$H:$H,LEFT($P503,30)&amp;"*"),MAXIFS(Investment!$AH:$AH,Investment!$H:$H,LEFT($P503,30)&amp;"*"),),)</f>
        <v/>
      </c>
      <c r="P503" s="299"/>
      <c r="R503" s="52"/>
    </row>
    <row r="504">
      <c r="A504" s="122">
        <v>42856.0</v>
      </c>
      <c r="B504" s="55" t="s">
        <v>364</v>
      </c>
      <c r="C504" s="304" t="s">
        <v>1386</v>
      </c>
      <c r="D504" s="55" t="s">
        <v>330</v>
      </c>
      <c r="E504" s="55">
        <v>66.0</v>
      </c>
      <c r="F504" s="264">
        <v>97.56</v>
      </c>
      <c r="G504" s="128">
        <v>-6439.03</v>
      </c>
      <c r="H504" s="299" t="s">
        <v>1422</v>
      </c>
      <c r="I504" s="138" t="str">
        <f t="shared" ref="I504:J504" si="508">IFS(AND($B504&lt;&gt;"",$E504&lt;&gt;""),IF(INDEX(N:N,MATCH($C504,$P:$P,0),1)&lt;&gt;"",$E504*INDEX(N:N,MATCH($C504,$P:$P,0),1)+$G504,""),AND($B504&lt;&gt;"",$D504="COST",$G504&lt;0),$G504,TRUE,)</f>
        <v/>
      </c>
      <c r="J504" s="138" t="str">
        <f t="shared" si="508"/>
        <v/>
      </c>
      <c r="K504" s="266" t="str">
        <f t="shared" si="3"/>
        <v>iShares 7-10 Year Treasury Bond ETF</v>
      </c>
      <c r="L504" s="156">
        <f t="shared" si="4"/>
        <v>0</v>
      </c>
      <c r="M504" s="156">
        <f t="shared" si="5"/>
        <v>-345.82</v>
      </c>
      <c r="N504" s="155" t="str">
        <f>IF($P504&lt;&gt;"",IF(MAXIFS(Investment!$M:$M,Investment!$H:$H,LEFT($P504,30)&amp;"*"),MAXIFS(Investment!$M:$M,Investment!$H:$H,LEFT($P504,30)&amp;"*"),),)</f>
        <v/>
      </c>
      <c r="O504" s="158" t="str">
        <f>IF($P504&lt;&gt;"",IF(MAXIFS(Investment!$AH:$AH,Investment!$H:$H,LEFT($P504,30)&amp;"*"),MAXIFS(Investment!$AH:$AH,Investment!$H:$H,LEFT($P504,30)&amp;"*"),),)</f>
        <v/>
      </c>
      <c r="P504" s="299"/>
      <c r="R504" s="52"/>
    </row>
    <row r="505">
      <c r="A505" s="122">
        <v>42856.0</v>
      </c>
      <c r="B505" s="55" t="s">
        <v>343</v>
      </c>
      <c r="C505" s="304" t="s">
        <v>1400</v>
      </c>
      <c r="D505" s="55" t="s">
        <v>330</v>
      </c>
      <c r="E505" s="55">
        <v>115.0</v>
      </c>
      <c r="F505" s="264">
        <v>112.8</v>
      </c>
      <c r="G505" s="128">
        <v>-12972.31</v>
      </c>
      <c r="H505" s="299" t="s">
        <v>1423</v>
      </c>
      <c r="I505" s="138" t="str">
        <f t="shared" ref="I505:J505" si="509">IFS(AND($B505&lt;&gt;"",$E505&lt;&gt;""),IF(INDEX(N:N,MATCH($C505,$P:$P,0),1)&lt;&gt;"",$E505*INDEX(N:N,MATCH($C505,$P:$P,0),1)+$G505,""),AND($B505&lt;&gt;"",$D505="COST",$G505&lt;0),$G505,TRUE,)</f>
        <v/>
      </c>
      <c r="J505" s="138" t="str">
        <f t="shared" si="509"/>
        <v/>
      </c>
      <c r="K505" s="266" t="str">
        <f t="shared" si="3"/>
        <v>Vanguard Total Stock Market ETF</v>
      </c>
      <c r="L505" s="156">
        <f t="shared" si="4"/>
        <v>0</v>
      </c>
      <c r="M505" s="156">
        <f t="shared" si="5"/>
        <v>1880.34</v>
      </c>
      <c r="N505" s="155" t="str">
        <f>IF($P505&lt;&gt;"",IF(MAXIFS(Investment!$M:$M,Investment!$H:$H,LEFT($P505,30)&amp;"*"),MAXIFS(Investment!$M:$M,Investment!$H:$H,LEFT($P505,30)&amp;"*"),),)</f>
        <v/>
      </c>
      <c r="O505" s="158" t="str">
        <f>IF($P505&lt;&gt;"",IF(MAXIFS(Investment!$AH:$AH,Investment!$H:$H,LEFT($P505,30)&amp;"*"),MAXIFS(Investment!$AH:$AH,Investment!$H:$H,LEFT($P505,30)&amp;"*"),),)</f>
        <v/>
      </c>
      <c r="P505" s="299"/>
      <c r="R505" s="52"/>
    </row>
    <row r="506">
      <c r="A506" s="122">
        <v>42856.0</v>
      </c>
      <c r="B506" s="55" t="s">
        <v>317</v>
      </c>
      <c r="C506" s="304" t="s">
        <v>1269</v>
      </c>
      <c r="D506" s="55" t="s">
        <v>330</v>
      </c>
      <c r="E506" s="55">
        <v>290.0</v>
      </c>
      <c r="F506" s="264">
        <v>11.16</v>
      </c>
      <c r="G506" s="128">
        <v>-3235.89</v>
      </c>
      <c r="H506" s="299" t="s">
        <v>1424</v>
      </c>
      <c r="I506" s="138" t="str">
        <f t="shared" ref="I506:J506" si="510">IFS(AND($B506&lt;&gt;"",$E506&lt;&gt;""),IF(INDEX(N:N,MATCH($C506,$P:$P,0),1)&lt;&gt;"",$E506*INDEX(N:N,MATCH($C506,$P:$P,0),1)+$G506,""),AND($B506&lt;&gt;"",$D506="COST",$G506&lt;0),$G506,TRUE,)</f>
        <v/>
      </c>
      <c r="J506" s="138" t="str">
        <f t="shared" si="510"/>
        <v/>
      </c>
      <c r="K506" s="266" t="str">
        <f t="shared" si="3"/>
        <v>iShares Gold Trust</v>
      </c>
      <c r="L506" s="156">
        <f t="shared" si="4"/>
        <v>0</v>
      </c>
      <c r="M506" s="156">
        <f t="shared" si="5"/>
        <v>140.23</v>
      </c>
      <c r="N506" s="155" t="str">
        <f>IF($P506&lt;&gt;"",IF(MAXIFS(Investment!$M:$M,Investment!$H:$H,LEFT($P506,30)&amp;"*"),MAXIFS(Investment!$M:$M,Investment!$H:$H,LEFT($P506,30)&amp;"*"),),)</f>
        <v/>
      </c>
      <c r="O506" s="158" t="str">
        <f>IF($P506&lt;&gt;"",IF(MAXIFS(Investment!$AH:$AH,Investment!$H:$H,LEFT($P506,30)&amp;"*"),MAXIFS(Investment!$AH:$AH,Investment!$H:$H,LEFT($P506,30)&amp;"*"),),)</f>
        <v/>
      </c>
      <c r="P506" s="299"/>
      <c r="R506" s="52"/>
    </row>
    <row r="507">
      <c r="A507" s="122">
        <v>42856.0</v>
      </c>
      <c r="B507" s="55" t="s">
        <v>268</v>
      </c>
      <c r="C507" s="304" t="s">
        <v>1196</v>
      </c>
      <c r="D507" s="55" t="s">
        <v>330</v>
      </c>
      <c r="E507" s="55">
        <v>166.0</v>
      </c>
      <c r="F507" s="264">
        <v>103.67</v>
      </c>
      <c r="G507" s="128">
        <v>-17209.62</v>
      </c>
      <c r="H507" s="299" t="s">
        <v>1425</v>
      </c>
      <c r="I507" s="138" t="str">
        <f t="shared" ref="I507:J507" si="511">IFS(AND($B507&lt;&gt;"",$E507&lt;&gt;""),IF(INDEX(N:N,MATCH($C507,$P:$P,0),1)&lt;&gt;"",$E507*INDEX(N:N,MATCH($C507,$P:$P,0),1)+$G507,""),AND($B507&lt;&gt;"",$D507="COST",$G507&lt;0),$G507,TRUE,)</f>
        <v/>
      </c>
      <c r="J507" s="138" t="str">
        <f t="shared" si="511"/>
        <v/>
      </c>
      <c r="K507" s="266" t="str">
        <f t="shared" si="3"/>
        <v>Vanguard Extended Duration Treasury ETF</v>
      </c>
      <c r="L507" s="156">
        <f t="shared" si="4"/>
        <v>0</v>
      </c>
      <c r="M507" s="156">
        <f t="shared" si="5"/>
        <v>-4941.36</v>
      </c>
      <c r="N507" s="155" t="str">
        <f>IF($P507&lt;&gt;"",IF(MAXIFS(Investment!$M:$M,Investment!$H:$H,LEFT($P507,30)&amp;"*"),MAXIFS(Investment!$M:$M,Investment!$H:$H,LEFT($P507,30)&amp;"*"),),)</f>
        <v/>
      </c>
      <c r="O507" s="158" t="str">
        <f>IF($P507&lt;&gt;"",IF(MAXIFS(Investment!$AH:$AH,Investment!$H:$H,LEFT($P507,30)&amp;"*"),MAXIFS(Investment!$AH:$AH,Investment!$H:$H,LEFT($P507,30)&amp;"*"),),)</f>
        <v/>
      </c>
      <c r="P507" s="299"/>
      <c r="R507" s="52"/>
    </row>
    <row r="508">
      <c r="A508" s="122">
        <v>42853.0</v>
      </c>
      <c r="B508" s="170"/>
      <c r="C508" s="311"/>
      <c r="D508" s="55" t="s">
        <v>312</v>
      </c>
      <c r="E508" s="170"/>
      <c r="F508" s="264"/>
      <c r="G508" s="128">
        <v>43355.53</v>
      </c>
      <c r="H508" s="299" t="s">
        <v>1426</v>
      </c>
      <c r="I508" s="138" t="str">
        <f t="shared" ref="I508:J508" si="512">IFS(AND($B508&lt;&gt;"",$E508&lt;&gt;""),IF(INDEX(N:N,MATCH($C508,$P:$P,0),1)&lt;&gt;"",$E508*INDEX(N:N,MATCH($C508,$P:$P,0),1)+$G508,""),AND($B508&lt;&gt;"",$D508="COST",$G508&lt;0),$G508,TRUE,)</f>
        <v/>
      </c>
      <c r="J508" s="138" t="str">
        <f t="shared" si="512"/>
        <v/>
      </c>
      <c r="K508" s="266" t="str">
        <f t="shared" si="3"/>
        <v/>
      </c>
      <c r="L508" s="156" t="str">
        <f t="shared" si="4"/>
        <v/>
      </c>
      <c r="M508" s="156" t="str">
        <f t="shared" si="5"/>
        <v/>
      </c>
      <c r="N508" s="155" t="str">
        <f>IF($P508&lt;&gt;"",IF(MAXIFS(Investment!$M:$M,Investment!$H:$H,LEFT($P508,30)&amp;"*"),MAXIFS(Investment!$M:$M,Investment!$H:$H,LEFT($P508,30)&amp;"*"),),)</f>
        <v/>
      </c>
      <c r="O508" s="158" t="str">
        <f>IF($P508&lt;&gt;"",IF(MAXIFS(Investment!$AH:$AH,Investment!$H:$H,LEFT($P508,30)&amp;"*"),MAXIFS(Investment!$AH:$AH,Investment!$H:$H,LEFT($P508,30)&amp;"*"),),)</f>
        <v/>
      </c>
      <c r="P508" s="299"/>
      <c r="R508" s="52"/>
    </row>
    <row r="509">
      <c r="A509" s="122">
        <v>42849.0</v>
      </c>
      <c r="B509" s="124"/>
      <c r="C509" s="130"/>
      <c r="D509" s="298" t="s">
        <v>312</v>
      </c>
      <c r="E509" s="298"/>
      <c r="F509" s="264"/>
      <c r="G509" s="128">
        <v>1.0</v>
      </c>
      <c r="H509" s="130" t="s">
        <v>1427</v>
      </c>
      <c r="I509" s="138" t="str">
        <f t="shared" ref="I509:J509" si="513">IFS(AND($B509&lt;&gt;"",$E509&lt;&gt;""),IF(INDEX(N:N,MATCH($C509,$P:$P,0),1)&lt;&gt;"",$E509*INDEX(N:N,MATCH($C509,$P:$P,0),1)+$G509,""),AND($B509&lt;&gt;"",$D509="COST",$G509&lt;0),$G509,TRUE,)</f>
        <v/>
      </c>
      <c r="J509" s="138" t="str">
        <f t="shared" si="513"/>
        <v/>
      </c>
      <c r="K509" s="266" t="str">
        <f t="shared" si="3"/>
        <v/>
      </c>
      <c r="L509" s="156" t="str">
        <f t="shared" si="4"/>
        <v/>
      </c>
      <c r="M509" s="156" t="str">
        <f t="shared" si="5"/>
        <v/>
      </c>
      <c r="N509" s="155" t="str">
        <f>IF($P509&lt;&gt;"",IF(MAXIFS(Investment!$M:$M,Investment!$H:$H,LEFT($P509,30)&amp;"*"),MAXIFS(Investment!$M:$M,Investment!$H:$H,LEFT($P509,30)&amp;"*"),),)</f>
        <v/>
      </c>
      <c r="O509" s="158" t="str">
        <f>IF($P509&lt;&gt;"",IF(MAXIFS(Investment!$AH:$AH,Investment!$H:$H,LEFT($P509,30)&amp;"*"),MAXIFS(Investment!$AH:$AH,Investment!$H:$H,LEFT($P509,30)&amp;"*"),),)</f>
        <v/>
      </c>
      <c r="P509" s="299"/>
      <c r="R509" s="52"/>
    </row>
    <row r="510">
      <c r="A510" s="312">
        <v>42845.0</v>
      </c>
      <c r="B510" s="313"/>
      <c r="C510" s="314"/>
      <c r="D510" s="315" t="s">
        <v>378</v>
      </c>
      <c r="E510" s="313"/>
      <c r="F510" s="316"/>
      <c r="G510" s="317">
        <v>-6.0</v>
      </c>
      <c r="H510" s="318" t="str">
        <f t="shared" ref="H510:H547" si="515">IF(D510&lt;&gt;"",C510 &amp; "@" &amp; D510 &amp; "@" &amp; E510 &amp; "@" &amp; G510,"")</f>
        <v>@COST@@-6</v>
      </c>
      <c r="I510" s="138" t="str">
        <f t="shared" ref="I510:J510" si="514">IFS(AND($B510&lt;&gt;"",$E510&lt;&gt;""),IF(INDEX(N:N,MATCH($C510,$P:$P,0),1)&lt;&gt;"",$E510*INDEX(N:N,MATCH($C510,$P:$P,0),1)+$G510,""),AND($B510&lt;&gt;"",$D510="COST",$G510&lt;0),$G510,TRUE,)</f>
        <v/>
      </c>
      <c r="J510" s="138" t="str">
        <f t="shared" si="514"/>
        <v/>
      </c>
      <c r="K510" s="266" t="str">
        <f t="shared" si="3"/>
        <v/>
      </c>
      <c r="L510" s="156" t="str">
        <f t="shared" si="4"/>
        <v/>
      </c>
      <c r="M510" s="156" t="str">
        <f t="shared" si="5"/>
        <v/>
      </c>
      <c r="N510" s="155" t="str">
        <f>IF($P510&lt;&gt;"",IF(MAXIFS(Investment!$M:$M,Investment!$H:$H,LEFT($P510,30)&amp;"*"),MAXIFS(Investment!$M:$M,Investment!$H:$H,LEFT($P510,30)&amp;"*"),),)</f>
        <v/>
      </c>
      <c r="O510" s="158" t="str">
        <f>IF($P510&lt;&gt;"",IF(MAXIFS(Investment!$AH:$AH,Investment!$H:$H,LEFT($P510,30)&amp;"*"),MAXIFS(Investment!$AH:$AH,Investment!$H:$H,LEFT($P510,30)&amp;"*"),),)</f>
        <v/>
      </c>
      <c r="P510" s="141"/>
      <c r="Q510" s="156"/>
      <c r="R510" s="279"/>
    </row>
    <row r="511">
      <c r="A511" s="312">
        <v>42845.0</v>
      </c>
      <c r="B511" s="313"/>
      <c r="C511" s="314"/>
      <c r="D511" s="315" t="s">
        <v>312</v>
      </c>
      <c r="E511" s="313"/>
      <c r="F511" s="316"/>
      <c r="G511" s="317">
        <v>-45404.0</v>
      </c>
      <c r="H511" s="318" t="str">
        <f t="shared" si="515"/>
        <v>@APPROVISIONNEMENT@@-45404</v>
      </c>
      <c r="I511" s="138" t="str">
        <f t="shared" ref="I511:J511" si="516">IFS(AND($B511&lt;&gt;"",$E511&lt;&gt;""),IF(INDEX(N:N,MATCH($C511,$P:$P,0),1)&lt;&gt;"",$E511*INDEX(N:N,MATCH($C511,$P:$P,0),1)+$G511,""),AND($B511&lt;&gt;"",$D511="COST",$G511&lt;0),$G511,TRUE,)</f>
        <v/>
      </c>
      <c r="J511" s="138" t="str">
        <f t="shared" si="516"/>
        <v/>
      </c>
      <c r="K511" s="266" t="str">
        <f t="shared" si="3"/>
        <v/>
      </c>
      <c r="L511" s="156" t="str">
        <f t="shared" si="4"/>
        <v/>
      </c>
      <c r="M511" s="156" t="str">
        <f t="shared" si="5"/>
        <v/>
      </c>
      <c r="N511" s="155" t="str">
        <f>IF($P511&lt;&gt;"",IF(MAXIFS(Investment!$M:$M,Investment!$H:$H,LEFT($P511,30)&amp;"*"),MAXIFS(Investment!$M:$M,Investment!$H:$H,LEFT($P511,30)&amp;"*"),),)</f>
        <v/>
      </c>
      <c r="O511" s="158" t="str">
        <f>IF($P511&lt;&gt;"",IF(MAXIFS(Investment!$AH:$AH,Investment!$H:$H,LEFT($P511,30)&amp;"*"),MAXIFS(Investment!$AH:$AH,Investment!$H:$H,LEFT($P511,30)&amp;"*"),),)</f>
        <v/>
      </c>
      <c r="P511" s="299"/>
      <c r="R511" s="52"/>
    </row>
    <row r="512">
      <c r="A512" s="312">
        <v>42845.0</v>
      </c>
      <c r="B512" s="313"/>
      <c r="C512" s="314"/>
      <c r="D512" s="315" t="s">
        <v>312</v>
      </c>
      <c r="E512" s="313"/>
      <c r="F512" s="316"/>
      <c r="G512" s="317">
        <v>-452.53</v>
      </c>
      <c r="H512" s="318" t="str">
        <f t="shared" si="515"/>
        <v>@APPROVISIONNEMENT@@-452.53</v>
      </c>
      <c r="I512" s="138" t="str">
        <f t="shared" ref="I512:J512" si="517">IFS(AND($B512&lt;&gt;"",$E512&lt;&gt;""),IF(INDEX(N:N,MATCH($C512,$P:$P,0),1)&lt;&gt;"",$E512*INDEX(N:N,MATCH($C512,$P:$P,0),1)+$G512,""),AND($B512&lt;&gt;"",$D512="COST",$G512&lt;0),$G512,TRUE,)</f>
        <v/>
      </c>
      <c r="J512" s="138" t="str">
        <f t="shared" si="517"/>
        <v/>
      </c>
      <c r="K512" s="266" t="str">
        <f t="shared" si="3"/>
        <v/>
      </c>
      <c r="L512" s="156" t="str">
        <f t="shared" si="4"/>
        <v/>
      </c>
      <c r="M512" s="156" t="str">
        <f t="shared" si="5"/>
        <v/>
      </c>
      <c r="N512" s="155" t="str">
        <f>IF($P512&lt;&gt;"",IF(MAXIFS(Investment!$M:$M,Investment!$H:$H,LEFT($P512,30)&amp;"*"),MAXIFS(Investment!$M:$M,Investment!$H:$H,LEFT($P512,30)&amp;"*"),),)</f>
        <v/>
      </c>
      <c r="O512" s="158" t="str">
        <f>IF($P512&lt;&gt;"",IF(MAXIFS(Investment!$AH:$AH,Investment!$H:$H,LEFT($P512,30)&amp;"*"),MAXIFS(Investment!$AH:$AH,Investment!$H:$H,LEFT($P512,30)&amp;"*"),),)</f>
        <v/>
      </c>
      <c r="P512" s="299"/>
      <c r="R512" s="52"/>
    </row>
    <row r="513">
      <c r="A513" s="319">
        <v>42845.0</v>
      </c>
      <c r="B513" s="320" t="s">
        <v>268</v>
      </c>
      <c r="C513" s="321" t="s">
        <v>1196</v>
      </c>
      <c r="D513" s="320" t="s">
        <v>319</v>
      </c>
      <c r="E513" s="322">
        <v>-179.0</v>
      </c>
      <c r="F513" s="323">
        <v>107.2757</v>
      </c>
      <c r="G513" s="324">
        <v>19185.08</v>
      </c>
      <c r="H513" s="318" t="str">
        <f t="shared" si="515"/>
        <v>Vanguard Extended Duration Treasury ETF@SELL@-179@19185.08</v>
      </c>
      <c r="I513" s="138" t="str">
        <f t="shared" ref="I513:J513" si="518">IFS(AND($B513&lt;&gt;"",$E513&lt;&gt;""),IF(INDEX(N:N,MATCH($C513,$P:$P,0),1)&lt;&gt;"",$E513*INDEX(N:N,MATCH($C513,$P:$P,0),1)+$G513,""),AND($B513&lt;&gt;"",$D513="COST",$G513&lt;0),$G513,TRUE,)</f>
        <v/>
      </c>
      <c r="J513" s="138" t="str">
        <f t="shared" si="518"/>
        <v/>
      </c>
      <c r="K513" s="266" t="str">
        <f t="shared" si="3"/>
        <v>Vanguard Extended Duration Treasury ETF</v>
      </c>
      <c r="L513" s="156">
        <f t="shared" si="4"/>
        <v>0</v>
      </c>
      <c r="M513" s="156">
        <f t="shared" si="5"/>
        <v>-4941.36</v>
      </c>
      <c r="N513" s="155" t="str">
        <f>IF($P513&lt;&gt;"",IF(MAXIFS(Investment!$M:$M,Investment!$H:$H,LEFT($P513,30)&amp;"*"),MAXIFS(Investment!$M:$M,Investment!$H:$H,LEFT($P513,30)&amp;"*"),),)</f>
        <v/>
      </c>
      <c r="O513" s="158" t="str">
        <f>IF($P513&lt;&gt;"",IF(MAXIFS(Investment!$AH:$AH,Investment!$H:$H,LEFT($P513,30)&amp;"*"),MAXIFS(Investment!$AH:$AH,Investment!$H:$H,LEFT($P513,30)&amp;"*"),),)</f>
        <v/>
      </c>
      <c r="P513" s="299"/>
      <c r="R513" s="52"/>
    </row>
    <row r="514">
      <c r="A514" s="319">
        <v>42845.0</v>
      </c>
      <c r="B514" s="320" t="s">
        <v>317</v>
      </c>
      <c r="C514" s="321" t="s">
        <v>1269</v>
      </c>
      <c r="D514" s="320" t="s">
        <v>319</v>
      </c>
      <c r="E514" s="322">
        <v>-292.0</v>
      </c>
      <c r="F514" s="323">
        <v>11.4687</v>
      </c>
      <c r="G514" s="324">
        <v>3340.35</v>
      </c>
      <c r="H514" s="318" t="str">
        <f t="shared" si="515"/>
        <v>iShares Gold Trust@SELL@-292@3340.35</v>
      </c>
      <c r="I514" s="138" t="str">
        <f t="shared" ref="I514:J514" si="519">IFS(AND($B514&lt;&gt;"",$E514&lt;&gt;""),IF(INDEX(N:N,MATCH($C514,$P:$P,0),1)&lt;&gt;"",$E514*INDEX(N:N,MATCH($C514,$P:$P,0),1)+$G514,""),AND($B514&lt;&gt;"",$D514="COST",$G514&lt;0),$G514,TRUE,)</f>
        <v/>
      </c>
      <c r="J514" s="138" t="str">
        <f t="shared" si="519"/>
        <v/>
      </c>
      <c r="K514" s="266" t="str">
        <f t="shared" si="3"/>
        <v>iShares Gold Trust</v>
      </c>
      <c r="L514" s="156">
        <f t="shared" si="4"/>
        <v>0</v>
      </c>
      <c r="M514" s="156">
        <f t="shared" si="5"/>
        <v>140.23</v>
      </c>
      <c r="N514" s="155" t="str">
        <f>IF($P514&lt;&gt;"",IF(MAXIFS(Investment!$M:$M,Investment!$H:$H,LEFT($P514,30)&amp;"*"),MAXIFS(Investment!$M:$M,Investment!$H:$H,LEFT($P514,30)&amp;"*"),),)</f>
        <v/>
      </c>
      <c r="O514" s="158" t="str">
        <f>IF($P514&lt;&gt;"",IF(MAXIFS(Investment!$AH:$AH,Investment!$H:$H,LEFT($P514,30)&amp;"*"),MAXIFS(Investment!$AH:$AH,Investment!$H:$H,LEFT($P514,30)&amp;"*"),),)</f>
        <v/>
      </c>
      <c r="P514" s="318"/>
      <c r="R514" s="253"/>
    </row>
    <row r="515">
      <c r="A515" s="319">
        <v>42845.0</v>
      </c>
      <c r="B515" s="320" t="s">
        <v>364</v>
      </c>
      <c r="C515" s="321" t="s">
        <v>1386</v>
      </c>
      <c r="D515" s="320" t="s">
        <v>319</v>
      </c>
      <c r="E515" s="322">
        <v>-67.0</v>
      </c>
      <c r="F515" s="323">
        <v>99.6126</v>
      </c>
      <c r="G515" s="324">
        <v>6665.55</v>
      </c>
      <c r="H515" s="318" t="str">
        <f t="shared" si="515"/>
        <v>iShares 7-10 Year Treasury Bond ETF@SELL@-67@6665.55</v>
      </c>
      <c r="I515" s="138" t="str">
        <f t="shared" ref="I515:J515" si="520">IFS(AND($B515&lt;&gt;"",$E515&lt;&gt;""),IF(INDEX(N:N,MATCH($C515,$P:$P,0),1)&lt;&gt;"",$E515*INDEX(N:N,MATCH($C515,$P:$P,0),1)+$G515,""),AND($B515&lt;&gt;"",$D515="COST",$G515&lt;0),$G515,TRUE,)</f>
        <v/>
      </c>
      <c r="J515" s="138" t="str">
        <f t="shared" si="520"/>
        <v/>
      </c>
      <c r="K515" s="266" t="str">
        <f t="shared" si="3"/>
        <v>iShares 7-10 Year Treasury Bond ETF</v>
      </c>
      <c r="L515" s="156">
        <f t="shared" si="4"/>
        <v>0</v>
      </c>
      <c r="M515" s="156">
        <f t="shared" si="5"/>
        <v>-345.82</v>
      </c>
      <c r="N515" s="155" t="str">
        <f>IF($P515&lt;&gt;"",IF(MAXIFS(Investment!$M:$M,Investment!$H:$H,LEFT($P515,30)&amp;"*"),MAXIFS(Investment!$M:$M,Investment!$H:$H,LEFT($P515,30)&amp;"*"),),)</f>
        <v/>
      </c>
      <c r="O515" s="158" t="str">
        <f>IF($P515&lt;&gt;"",IF(MAXIFS(Investment!$AH:$AH,Investment!$H:$H,LEFT($P515,30)&amp;"*"),MAXIFS(Investment!$AH:$AH,Investment!$H:$H,LEFT($P515,30)&amp;"*"),),)</f>
        <v/>
      </c>
      <c r="P515" s="318"/>
      <c r="R515" s="253"/>
    </row>
    <row r="516" ht="1.5" customHeight="1">
      <c r="A516" s="319">
        <v>42845.0</v>
      </c>
      <c r="B516" s="320" t="s">
        <v>328</v>
      </c>
      <c r="C516" s="321" t="s">
        <v>1396</v>
      </c>
      <c r="D516" s="320" t="s">
        <v>319</v>
      </c>
      <c r="E516" s="322">
        <v>-211.0</v>
      </c>
      <c r="F516" s="323">
        <v>14.3195</v>
      </c>
      <c r="G516" s="324">
        <v>3012.92</v>
      </c>
      <c r="H516" s="318" t="str">
        <f t="shared" si="515"/>
        <v>iShares Diversified Commodity Swap UCITS ETF DE@SELL@-211@3012.92</v>
      </c>
      <c r="I516" s="138" t="str">
        <f t="shared" ref="I516:J516" si="521">IFS(AND($B516&lt;&gt;"",$E516&lt;&gt;""),IF(INDEX(N:N,MATCH($C516,$P:$P,0),1)&lt;&gt;"",$E516*INDEX(N:N,MATCH($C516,$P:$P,0),1)+$G516,""),AND($B516&lt;&gt;"",$D516="COST",$G516&lt;0),$G516,TRUE,)</f>
        <v/>
      </c>
      <c r="J516" s="138" t="str">
        <f t="shared" si="521"/>
        <v/>
      </c>
      <c r="K516" s="266" t="str">
        <f t="shared" si="3"/>
        <v>iShares Diversified Commodity Swap UCITS ETF DE</v>
      </c>
      <c r="L516" s="156">
        <f t="shared" si="4"/>
        <v>0</v>
      </c>
      <c r="M516" s="156">
        <f t="shared" si="5"/>
        <v>-296.42</v>
      </c>
      <c r="N516" s="155" t="str">
        <f>IF($P516&lt;&gt;"",IF(MAXIFS(Investment!$M:$M,Investment!$H:$H,LEFT($P516,30)&amp;"*"),MAXIFS(Investment!$M:$M,Investment!$H:$H,LEFT($P516,30)&amp;"*"),),)</f>
        <v/>
      </c>
      <c r="O516" s="158" t="str">
        <f>IF($P516&lt;&gt;"",IF(MAXIFS(Investment!$AH:$AH,Investment!$H:$H,LEFT($P516,30)&amp;"*"),MAXIFS(Investment!$AH:$AH,Investment!$H:$H,LEFT($P516,30)&amp;"*"),),)</f>
        <v/>
      </c>
      <c r="P516" s="318"/>
      <c r="R516" s="253"/>
    </row>
    <row r="517" ht="1.5" customHeight="1">
      <c r="A517" s="319">
        <v>42845.0</v>
      </c>
      <c r="B517" s="320" t="s">
        <v>343</v>
      </c>
      <c r="C517" s="325" t="s">
        <v>1400</v>
      </c>
      <c r="D517" s="320" t="s">
        <v>319</v>
      </c>
      <c r="E517" s="322">
        <v>-120.0</v>
      </c>
      <c r="F517" s="323">
        <v>112.3483</v>
      </c>
      <c r="G517" s="324">
        <v>13469.67</v>
      </c>
      <c r="H517" s="318" t="str">
        <f t="shared" si="515"/>
        <v>Vanguard Total Stock Market ETF@SELL@-120@13469.67</v>
      </c>
      <c r="I517" s="138" t="str">
        <f t="shared" ref="I517:J517" si="522">IFS(AND($B517&lt;&gt;"",$E517&lt;&gt;""),IF(INDEX(N:N,MATCH($C517,$P:$P,0),1)&lt;&gt;"",$E517*INDEX(N:N,MATCH($C517,$P:$P,0),1)+$G517,""),AND($B517&lt;&gt;"",$D517="COST",$G517&lt;0),$G517,TRUE,)</f>
        <v/>
      </c>
      <c r="J517" s="138" t="str">
        <f t="shared" si="522"/>
        <v/>
      </c>
      <c r="K517" s="266" t="str">
        <f t="shared" si="3"/>
        <v>Vanguard Total Stock Market ETF</v>
      </c>
      <c r="L517" s="156">
        <f t="shared" si="4"/>
        <v>0</v>
      </c>
      <c r="M517" s="156">
        <f t="shared" si="5"/>
        <v>1880.34</v>
      </c>
      <c r="N517" s="155" t="str">
        <f>IF($P517&lt;&gt;"",IF(MAXIFS(Investment!$M:$M,Investment!$H:$H,LEFT($P517,30)&amp;"*"),MAXIFS(Investment!$M:$M,Investment!$H:$H,LEFT($P517,30)&amp;"*"),),)</f>
        <v/>
      </c>
      <c r="O517" s="158" t="str">
        <f>IF($P517&lt;&gt;"",IF(MAXIFS(Investment!$AH:$AH,Investment!$H:$H,LEFT($P517,30)&amp;"*"),MAXIFS(Investment!$AH:$AH,Investment!$H:$H,LEFT($P517,30)&amp;"*"),),)</f>
        <v/>
      </c>
      <c r="P517" s="318"/>
      <c r="R517" s="253"/>
    </row>
    <row r="518" ht="1.5" customHeight="1">
      <c r="A518" s="122">
        <v>42845.0</v>
      </c>
      <c r="B518" s="55" t="s">
        <v>364</v>
      </c>
      <c r="C518" s="304" t="s">
        <v>1386</v>
      </c>
      <c r="D518" s="55" t="s">
        <v>272</v>
      </c>
      <c r="E518" s="55"/>
      <c r="F518" s="264"/>
      <c r="G518" s="128">
        <v>4.9</v>
      </c>
      <c r="H518" s="318" t="str">
        <f t="shared" si="515"/>
        <v>iShares 7-10 Year Treasury Bond ETF@DIVIDEND@@4.9</v>
      </c>
      <c r="I518" s="138" t="str">
        <f t="shared" ref="I518:J518" si="523">IFS(AND($B518&lt;&gt;"",$E518&lt;&gt;""),IF(INDEX(N:N,MATCH($C518,$P:$P,0),1)&lt;&gt;"",$E518*INDEX(N:N,MATCH($C518,$P:$P,0),1)+$G518,""),AND($B518&lt;&gt;"",$D518="COST",$G518&lt;0),$G518,TRUE,)</f>
        <v/>
      </c>
      <c r="J518" s="138" t="str">
        <f t="shared" si="523"/>
        <v/>
      </c>
      <c r="K518" s="266" t="str">
        <f t="shared" si="3"/>
        <v>iShares 7-10 Year Treasury Bond ETF</v>
      </c>
      <c r="L518" s="156">
        <f t="shared" si="4"/>
        <v>0</v>
      </c>
      <c r="M518" s="156">
        <f t="shared" si="5"/>
        <v>-345.82</v>
      </c>
      <c r="N518" s="155" t="str">
        <f>IF($P518&lt;&gt;"",IF(MAXIFS(Investment!$M:$M,Investment!$H:$H,LEFT($P518,30)&amp;"*"),MAXIFS(Investment!$M:$M,Investment!$H:$H,LEFT($P518,30)&amp;"*"),),)</f>
        <v/>
      </c>
      <c r="O518" s="158" t="str">
        <f>IF($P518&lt;&gt;"",IF(MAXIFS(Investment!$AH:$AH,Investment!$H:$H,LEFT($P518,30)&amp;"*"),MAXIFS(Investment!$AH:$AH,Investment!$H:$H,LEFT($P518,30)&amp;"*"),),)</f>
        <v/>
      </c>
      <c r="P518" s="318"/>
      <c r="R518" s="253"/>
    </row>
    <row r="519">
      <c r="A519" s="122">
        <v>42836.0</v>
      </c>
      <c r="B519" s="55" t="s">
        <v>268</v>
      </c>
      <c r="C519" s="304" t="s">
        <v>1196</v>
      </c>
      <c r="D519" s="55" t="s">
        <v>272</v>
      </c>
      <c r="E519" s="55"/>
      <c r="F519" s="264"/>
      <c r="G519" s="128">
        <v>56.77</v>
      </c>
      <c r="H519" s="318" t="str">
        <f t="shared" si="515"/>
        <v>Vanguard Extended Duration Treasury ETF@DIVIDEND@@56.77</v>
      </c>
      <c r="I519" s="138" t="str">
        <f t="shared" ref="I519:J519" si="524">IFS(AND($B519&lt;&gt;"",$E519&lt;&gt;""),IF(INDEX(N:N,MATCH($C519,$P:$P,0),1)&lt;&gt;"",$E519*INDEX(N:N,MATCH($C519,$P:$P,0),1)+$G519,""),AND($B519&lt;&gt;"",$D519="COST",$G519&lt;0),$G519,TRUE,)</f>
        <v/>
      </c>
      <c r="J519" s="138" t="str">
        <f t="shared" si="524"/>
        <v/>
      </c>
      <c r="K519" s="266" t="str">
        <f t="shared" si="3"/>
        <v>Vanguard Extended Duration Treasury ETF</v>
      </c>
      <c r="L519" s="156">
        <f t="shared" si="4"/>
        <v>0</v>
      </c>
      <c r="M519" s="156">
        <f t="shared" si="5"/>
        <v>-4941.36</v>
      </c>
      <c r="N519" s="155" t="str">
        <f>IF($P519&lt;&gt;"",IF(MAXIFS(Investment!$M:$M,Investment!$H:$H,LEFT($P519,30)&amp;"*"),MAXIFS(Investment!$M:$M,Investment!$H:$H,LEFT($P519,30)&amp;"*"),),)</f>
        <v/>
      </c>
      <c r="O519" s="158" t="str">
        <f>IF($P519&lt;&gt;"",IF(MAXIFS(Investment!$AH:$AH,Investment!$H:$H,LEFT($P519,30)&amp;"*"),MAXIFS(Investment!$AH:$AH,Investment!$H:$H,LEFT($P519,30)&amp;"*"),),)</f>
        <v/>
      </c>
      <c r="P519" s="299"/>
      <c r="R519" s="52"/>
    </row>
    <row r="520" ht="1.5" customHeight="1">
      <c r="A520" s="122">
        <v>42835.0</v>
      </c>
      <c r="B520" s="55" t="s">
        <v>343</v>
      </c>
      <c r="C520" s="304" t="s">
        <v>1400</v>
      </c>
      <c r="D520" s="55" t="s">
        <v>272</v>
      </c>
      <c r="E520" s="55"/>
      <c r="F520" s="264"/>
      <c r="G520" s="128">
        <v>29.55</v>
      </c>
      <c r="H520" s="318" t="str">
        <f t="shared" si="515"/>
        <v>Vanguard Total Stock Market ETF@DIVIDEND@@29.55</v>
      </c>
      <c r="I520" s="138" t="str">
        <f t="shared" ref="I520:J520" si="525">IFS(AND($B520&lt;&gt;"",$E520&lt;&gt;""),IF(INDEX(N:N,MATCH($C520,$P:$P,0),1)&lt;&gt;"",$E520*INDEX(N:N,MATCH($C520,$P:$P,0),1)+$G520,""),AND($B520&lt;&gt;"",$D520="COST",$G520&lt;0),$G520,TRUE,)</f>
        <v/>
      </c>
      <c r="J520" s="138" t="str">
        <f t="shared" si="525"/>
        <v/>
      </c>
      <c r="K520" s="266" t="str">
        <f t="shared" si="3"/>
        <v>Vanguard Total Stock Market ETF</v>
      </c>
      <c r="L520" s="156">
        <f t="shared" si="4"/>
        <v>0</v>
      </c>
      <c r="M520" s="156">
        <f t="shared" si="5"/>
        <v>1880.34</v>
      </c>
      <c r="N520" s="155" t="str">
        <f>IF($P520&lt;&gt;"",IF(MAXIFS(Investment!$M:$M,Investment!$H:$H,LEFT($P520,30)&amp;"*"),MAXIFS(Investment!$M:$M,Investment!$H:$H,LEFT($P520,30)&amp;"*"),),)</f>
        <v/>
      </c>
      <c r="O520" s="158" t="str">
        <f>IF($P520&lt;&gt;"",IF(MAXIFS(Investment!$AH:$AH,Investment!$H:$H,LEFT($P520,30)&amp;"*"),MAXIFS(Investment!$AH:$AH,Investment!$H:$H,LEFT($P520,30)&amp;"*"),),)</f>
        <v/>
      </c>
      <c r="P520" s="299"/>
      <c r="R520" s="52"/>
    </row>
    <row r="521" ht="1.5" customHeight="1">
      <c r="A521" s="122">
        <v>42829.0</v>
      </c>
      <c r="B521" s="170"/>
      <c r="C521" s="311"/>
      <c r="D521" s="55" t="s">
        <v>378</v>
      </c>
      <c r="E521" s="170"/>
      <c r="F521" s="264"/>
      <c r="G521" s="128">
        <v>-0.16</v>
      </c>
      <c r="H521" s="318" t="str">
        <f t="shared" si="515"/>
        <v>@COST@@-0.16</v>
      </c>
      <c r="I521" s="138" t="str">
        <f t="shared" ref="I521:J521" si="526">IFS(AND($B521&lt;&gt;"",$E521&lt;&gt;""),IF(INDEX(N:N,MATCH($C521,$P:$P,0),1)&lt;&gt;"",$E521*INDEX(N:N,MATCH($C521,$P:$P,0),1)+$G521,""),AND($B521&lt;&gt;"",$D521="COST",$G521&lt;0),$G521,TRUE,)</f>
        <v/>
      </c>
      <c r="J521" s="138" t="str">
        <f t="shared" si="526"/>
        <v/>
      </c>
      <c r="K521" s="266" t="str">
        <f t="shared" si="3"/>
        <v/>
      </c>
      <c r="L521" s="156" t="str">
        <f t="shared" si="4"/>
        <v/>
      </c>
      <c r="M521" s="156" t="str">
        <f t="shared" si="5"/>
        <v/>
      </c>
      <c r="N521" s="155" t="str">
        <f>IF($P521&lt;&gt;"",IF(MAXIFS(Investment!$M:$M,Investment!$H:$H,LEFT($P521,30)&amp;"*"),MAXIFS(Investment!$M:$M,Investment!$H:$H,LEFT($P521,30)&amp;"*"),),)</f>
        <v/>
      </c>
      <c r="O521" s="158" t="str">
        <f>IF($P521&lt;&gt;"",IF(MAXIFS(Investment!$AH:$AH,Investment!$H:$H,LEFT($P521,30)&amp;"*"),MAXIFS(Investment!$AH:$AH,Investment!$H:$H,LEFT($P521,30)&amp;"*"),),)</f>
        <v/>
      </c>
      <c r="P521" s="299"/>
      <c r="R521" s="52"/>
    </row>
    <row r="522" ht="1.5" customHeight="1">
      <c r="A522" s="122">
        <v>42803.0</v>
      </c>
      <c r="B522" s="55" t="s">
        <v>364</v>
      </c>
      <c r="C522" s="304" t="s">
        <v>1386</v>
      </c>
      <c r="D522" s="55" t="s">
        <v>272</v>
      </c>
      <c r="E522" s="55"/>
      <c r="F522" s="264"/>
      <c r="G522" s="128">
        <v>4.5</v>
      </c>
      <c r="H522" s="318" t="str">
        <f t="shared" si="515"/>
        <v>iShares 7-10 Year Treasury Bond ETF@DIVIDEND@@4.5</v>
      </c>
      <c r="I522" s="138" t="str">
        <f t="shared" ref="I522:J522" si="527">IFS(AND($B522&lt;&gt;"",$E522&lt;&gt;""),IF(INDEX(N:N,MATCH($C522,$P:$P,0),1)&lt;&gt;"",$E522*INDEX(N:N,MATCH($C522,$P:$P,0),1)+$G522,""),AND($B522&lt;&gt;"",$D522="COST",$G522&lt;0),$G522,TRUE,)</f>
        <v/>
      </c>
      <c r="J522" s="138" t="str">
        <f t="shared" si="527"/>
        <v/>
      </c>
      <c r="K522" s="266" t="str">
        <f t="shared" si="3"/>
        <v>iShares 7-10 Year Treasury Bond ETF</v>
      </c>
      <c r="L522" s="156">
        <f t="shared" si="4"/>
        <v>0</v>
      </c>
      <c r="M522" s="156">
        <f t="shared" si="5"/>
        <v>-345.82</v>
      </c>
      <c r="N522" s="155" t="str">
        <f>IF($P522&lt;&gt;"",IF(MAXIFS(Investment!$M:$M,Investment!$H:$H,LEFT($P522,30)&amp;"*"),MAXIFS(Investment!$M:$M,Investment!$H:$H,LEFT($P522,30)&amp;"*"),),)</f>
        <v/>
      </c>
      <c r="O522" s="158" t="str">
        <f>IF($P522&lt;&gt;"",IF(MAXIFS(Investment!$AH:$AH,Investment!$H:$H,LEFT($P522,30)&amp;"*"),MAXIFS(Investment!$AH:$AH,Investment!$H:$H,LEFT($P522,30)&amp;"*"),),)</f>
        <v/>
      </c>
      <c r="P522" s="299"/>
      <c r="R522" s="52"/>
    </row>
    <row r="523">
      <c r="A523" s="122">
        <v>42787.0</v>
      </c>
      <c r="B523" s="55" t="s">
        <v>268</v>
      </c>
      <c r="C523" s="304" t="s">
        <v>1196</v>
      </c>
      <c r="D523" s="55" t="s">
        <v>330</v>
      </c>
      <c r="E523" s="55">
        <v>23.0</v>
      </c>
      <c r="F523" s="264">
        <v>105.6173</v>
      </c>
      <c r="G523" s="128">
        <v>-2437.7</v>
      </c>
      <c r="H523" s="318" t="str">
        <f t="shared" si="515"/>
        <v>Vanguard Extended Duration Treasury ETF@BUY@23@-2437.7</v>
      </c>
      <c r="I523" s="138" t="str">
        <f t="shared" ref="I523:J523" si="528">IFS(AND($B523&lt;&gt;"",$E523&lt;&gt;""),IF(INDEX(N:N,MATCH($C523,$P:$P,0),1)&lt;&gt;"",$E523*INDEX(N:N,MATCH($C523,$P:$P,0),1)+$G523,""),AND($B523&lt;&gt;"",$D523="COST",$G523&lt;0),$G523,TRUE,)</f>
        <v/>
      </c>
      <c r="J523" s="138" t="str">
        <f t="shared" si="528"/>
        <v/>
      </c>
      <c r="K523" s="266" t="str">
        <f t="shared" si="3"/>
        <v>Vanguard Extended Duration Treasury ETF</v>
      </c>
      <c r="L523" s="156">
        <f t="shared" si="4"/>
        <v>0</v>
      </c>
      <c r="M523" s="156">
        <f t="shared" si="5"/>
        <v>-4941.36</v>
      </c>
      <c r="N523" s="155" t="str">
        <f>IF($P523&lt;&gt;"",IF(MAXIFS(Investment!$M:$M,Investment!$H:$H,LEFT($P523,30)&amp;"*"),MAXIFS(Investment!$M:$M,Investment!$H:$H,LEFT($P523,30)&amp;"*"),),)</f>
        <v/>
      </c>
      <c r="O523" s="158" t="str">
        <f>IF($P523&lt;&gt;"",IF(MAXIFS(Investment!$AH:$AH,Investment!$H:$H,LEFT($P523,30)&amp;"*"),MAXIFS(Investment!$AH:$AH,Investment!$H:$H,LEFT($P523,30)&amp;"*"),),)</f>
        <v/>
      </c>
      <c r="P523" s="299"/>
      <c r="R523" s="52"/>
    </row>
    <row r="524">
      <c r="A524" s="122">
        <v>42787.0</v>
      </c>
      <c r="B524" s="55" t="s">
        <v>343</v>
      </c>
      <c r="C524" s="304" t="s">
        <v>1400</v>
      </c>
      <c r="D524" s="55" t="s">
        <v>319</v>
      </c>
      <c r="E524" s="55">
        <v>-16.0</v>
      </c>
      <c r="F524" s="264">
        <v>114.4055</v>
      </c>
      <c r="G524" s="128">
        <v>1821.99</v>
      </c>
      <c r="H524" s="318" t="str">
        <f t="shared" si="515"/>
        <v>Vanguard Total Stock Market ETF@SELL@-16@1821.99</v>
      </c>
      <c r="I524" s="138" t="str">
        <f t="shared" ref="I524:J524" si="529">IFS(AND($B524&lt;&gt;"",$E524&lt;&gt;""),IF(INDEX(N:N,MATCH($C524,$P:$P,0),1)&lt;&gt;"",$E524*INDEX(N:N,MATCH($C524,$P:$P,0),1)+$G524,""),AND($B524&lt;&gt;"",$D524="COST",$G524&lt;0),$G524,TRUE,)</f>
        <v/>
      </c>
      <c r="J524" s="138" t="str">
        <f t="shared" si="529"/>
        <v/>
      </c>
      <c r="K524" s="266" t="str">
        <f t="shared" si="3"/>
        <v>Vanguard Total Stock Market ETF</v>
      </c>
      <c r="L524" s="156">
        <f t="shared" si="4"/>
        <v>0</v>
      </c>
      <c r="M524" s="156">
        <f t="shared" si="5"/>
        <v>1880.34</v>
      </c>
      <c r="N524" s="155" t="str">
        <f>IF($P524&lt;&gt;"",IF(MAXIFS(Investment!$M:$M,Investment!$H:$H,LEFT($P524,30)&amp;"*"),MAXIFS(Investment!$M:$M,Investment!$H:$H,LEFT($P524,30)&amp;"*"),),)</f>
        <v/>
      </c>
      <c r="O524" s="158" t="str">
        <f>IF($P524&lt;&gt;"",IF(MAXIFS(Investment!$AH:$AH,Investment!$H:$H,LEFT($P524,30)&amp;"*"),MAXIFS(Investment!$AH:$AH,Investment!$H:$H,LEFT($P524,30)&amp;"*"),),)</f>
        <v/>
      </c>
      <c r="P524" s="299"/>
      <c r="R524" s="52"/>
    </row>
    <row r="525">
      <c r="A525" s="122">
        <v>42776.0</v>
      </c>
      <c r="B525" s="55" t="s">
        <v>364</v>
      </c>
      <c r="C525" s="304" t="s">
        <v>1386</v>
      </c>
      <c r="D525" s="55" t="s">
        <v>272</v>
      </c>
      <c r="E525" s="55"/>
      <c r="F525" s="264"/>
      <c r="G525" s="128">
        <v>4.87</v>
      </c>
      <c r="H525" s="318" t="str">
        <f t="shared" si="515"/>
        <v>iShares 7-10 Year Treasury Bond ETF@DIVIDEND@@4.87</v>
      </c>
      <c r="I525" s="138" t="str">
        <f t="shared" ref="I525:J525" si="530">IFS(AND($B525&lt;&gt;"",$E525&lt;&gt;""),IF(INDEX(N:N,MATCH($C525,$P:$P,0),1)&lt;&gt;"",$E525*INDEX(N:N,MATCH($C525,$P:$P,0),1)+$G525,""),AND($B525&lt;&gt;"",$D525="COST",$G525&lt;0),$G525,TRUE,)</f>
        <v/>
      </c>
      <c r="J525" s="138" t="str">
        <f t="shared" si="530"/>
        <v/>
      </c>
      <c r="K525" s="266" t="str">
        <f t="shared" si="3"/>
        <v>iShares 7-10 Year Treasury Bond ETF</v>
      </c>
      <c r="L525" s="156">
        <f t="shared" si="4"/>
        <v>0</v>
      </c>
      <c r="M525" s="156">
        <f t="shared" si="5"/>
        <v>-345.82</v>
      </c>
      <c r="N525" s="155" t="str">
        <f>IF($P525&lt;&gt;"",IF(MAXIFS(Investment!$M:$M,Investment!$H:$H,LEFT($P525,30)&amp;"*"),MAXIFS(Investment!$M:$M,Investment!$H:$H,LEFT($P525,30)&amp;"*"),),)</f>
        <v/>
      </c>
      <c r="O525" s="158" t="str">
        <f>IF($P525&lt;&gt;"",IF(MAXIFS(Investment!$AH:$AH,Investment!$H:$H,LEFT($P525,30)&amp;"*"),MAXIFS(Investment!$AH:$AH,Investment!$H:$H,LEFT($P525,30)&amp;"*"),),)</f>
        <v/>
      </c>
      <c r="P525" s="299"/>
      <c r="R525" s="52"/>
    </row>
    <row r="526">
      <c r="A526" s="122">
        <v>42739.0</v>
      </c>
      <c r="B526" s="170"/>
      <c r="C526" s="311"/>
      <c r="D526" s="55" t="s">
        <v>378</v>
      </c>
      <c r="E526" s="170"/>
      <c r="F526" s="264"/>
      <c r="G526" s="128">
        <v>-0.18</v>
      </c>
      <c r="H526" s="318" t="str">
        <f t="shared" si="515"/>
        <v>@COST@@-0.18</v>
      </c>
      <c r="I526" s="138" t="str">
        <f t="shared" ref="I526:J526" si="531">IFS(AND($B526&lt;&gt;"",$E526&lt;&gt;""),IF(INDEX(N:N,MATCH($C526,$P:$P,0),1)&lt;&gt;"",$E526*INDEX(N:N,MATCH($C526,$P:$P,0),1)+$G526,""),AND($B526&lt;&gt;"",$D526="COST",$G526&lt;0),$G526,TRUE,)</f>
        <v/>
      </c>
      <c r="J526" s="138" t="str">
        <f t="shared" si="531"/>
        <v/>
      </c>
      <c r="K526" s="266" t="str">
        <f t="shared" si="3"/>
        <v/>
      </c>
      <c r="L526" s="156" t="str">
        <f t="shared" si="4"/>
        <v/>
      </c>
      <c r="M526" s="156" t="str">
        <f t="shared" si="5"/>
        <v/>
      </c>
      <c r="N526" s="155" t="str">
        <f>IF($P526&lt;&gt;"",IF(MAXIFS(Investment!$M:$M,Investment!$H:$H,LEFT($P526,30)&amp;"*"),MAXIFS(Investment!$M:$M,Investment!$H:$H,LEFT($P526,30)&amp;"*"),),)</f>
        <v/>
      </c>
      <c r="O526" s="158" t="str">
        <f>IF($P526&lt;&gt;"",IF(MAXIFS(Investment!$AH:$AH,Investment!$H:$H,LEFT($P526,30)&amp;"*"),MAXIFS(Investment!$AH:$AH,Investment!$H:$H,LEFT($P526,30)&amp;"*"),),)</f>
        <v/>
      </c>
      <c r="P526" s="299"/>
      <c r="R526" s="52"/>
    </row>
    <row r="527">
      <c r="A527" s="122">
        <v>42738.0</v>
      </c>
      <c r="B527" s="55" t="s">
        <v>364</v>
      </c>
      <c r="C527" s="304" t="s">
        <v>1386</v>
      </c>
      <c r="D527" s="55" t="s">
        <v>272</v>
      </c>
      <c r="E527" s="55"/>
      <c r="F527" s="264"/>
      <c r="G527" s="128">
        <v>5.12</v>
      </c>
      <c r="H527" s="318" t="str">
        <f t="shared" si="515"/>
        <v>iShares 7-10 Year Treasury Bond ETF@DIVIDEND@@5.12</v>
      </c>
      <c r="I527" s="138" t="str">
        <f t="shared" ref="I527:J527" si="532">IFS(AND($B527&lt;&gt;"",$E527&lt;&gt;""),IF(INDEX(N:N,MATCH($C527,$P:$P,0),1)&lt;&gt;"",$E527*INDEX(N:N,MATCH($C527,$P:$P,0),1)+$G527,""),AND($B527&lt;&gt;"",$D527="COST",$G527&lt;0),$G527,TRUE,)</f>
        <v/>
      </c>
      <c r="J527" s="138" t="str">
        <f t="shared" si="532"/>
        <v/>
      </c>
      <c r="K527" s="266" t="str">
        <f t="shared" si="3"/>
        <v>iShares 7-10 Year Treasury Bond ETF</v>
      </c>
      <c r="L527" s="156">
        <f t="shared" si="4"/>
        <v>0</v>
      </c>
      <c r="M527" s="156">
        <f t="shared" si="5"/>
        <v>-345.82</v>
      </c>
      <c r="N527" s="155" t="str">
        <f>IF($P527&lt;&gt;"",IF(MAXIFS(Investment!$M:$M,Investment!$H:$H,LEFT($P527,30)&amp;"*"),MAXIFS(Investment!$M:$M,Investment!$H:$H,LEFT($P527,30)&amp;"*"),),)</f>
        <v/>
      </c>
      <c r="O527" s="158" t="str">
        <f>IF($P527&lt;&gt;"",IF(MAXIFS(Investment!$AH:$AH,Investment!$H:$H,LEFT($P527,30)&amp;"*"),MAXIFS(Investment!$AH:$AH,Investment!$H:$H,LEFT($P527,30)&amp;"*"),),)</f>
        <v/>
      </c>
      <c r="P527" s="299"/>
      <c r="R527" s="52"/>
    </row>
    <row r="528">
      <c r="A528" s="122">
        <v>42737.0</v>
      </c>
      <c r="B528" s="55" t="s">
        <v>268</v>
      </c>
      <c r="C528" s="304" t="s">
        <v>1196</v>
      </c>
      <c r="D528" s="55" t="s">
        <v>272</v>
      </c>
      <c r="E528" s="55"/>
      <c r="F528" s="264"/>
      <c r="G528" s="128">
        <v>2.51</v>
      </c>
      <c r="H528" s="318" t="str">
        <f t="shared" si="515"/>
        <v>Vanguard Extended Duration Treasury ETF@DIVIDEND@@2.51</v>
      </c>
      <c r="I528" s="138" t="str">
        <f t="shared" ref="I528:J528" si="533">IFS(AND($B528&lt;&gt;"",$E528&lt;&gt;""),IF(INDEX(N:N,MATCH($C528,$P:$P,0),1)&lt;&gt;"",$E528*INDEX(N:N,MATCH($C528,$P:$P,0),1)+$G528,""),AND($B528&lt;&gt;"",$D528="COST",$G528&lt;0),$G528,TRUE,)</f>
        <v/>
      </c>
      <c r="J528" s="138" t="str">
        <f t="shared" si="533"/>
        <v/>
      </c>
      <c r="K528" s="266" t="str">
        <f t="shared" si="3"/>
        <v>Vanguard Extended Duration Treasury ETF</v>
      </c>
      <c r="L528" s="156">
        <f t="shared" si="4"/>
        <v>0</v>
      </c>
      <c r="M528" s="156">
        <f t="shared" si="5"/>
        <v>-4941.36</v>
      </c>
      <c r="N528" s="155" t="str">
        <f>IF($P528&lt;&gt;"",IF(MAXIFS(Investment!$M:$M,Investment!$H:$H,LEFT($P528,30)&amp;"*"),MAXIFS(Investment!$M:$M,Investment!$H:$H,LEFT($P528,30)&amp;"*"),),)</f>
        <v/>
      </c>
      <c r="O528" s="158" t="str">
        <f>IF($P528&lt;&gt;"",IF(MAXIFS(Investment!$AH:$AH,Investment!$H:$H,LEFT($P528,30)&amp;"*"),MAXIFS(Investment!$AH:$AH,Investment!$H:$H,LEFT($P528,30)&amp;"*"),),)</f>
        <v/>
      </c>
      <c r="P528" s="299"/>
      <c r="R528" s="52"/>
    </row>
    <row r="529">
      <c r="A529" s="122">
        <v>42737.0</v>
      </c>
      <c r="B529" s="55" t="s">
        <v>268</v>
      </c>
      <c r="C529" s="304" t="s">
        <v>1196</v>
      </c>
      <c r="D529" s="55" t="s">
        <v>272</v>
      </c>
      <c r="E529" s="55"/>
      <c r="F529" s="264"/>
      <c r="G529" s="128">
        <v>230.23</v>
      </c>
      <c r="H529" s="318" t="str">
        <f t="shared" si="515"/>
        <v>Vanguard Extended Duration Treasury ETF@DIVIDEND@@230.23</v>
      </c>
      <c r="I529" s="138" t="str">
        <f t="shared" ref="I529:J529" si="534">IFS(AND($B529&lt;&gt;"",$E529&lt;&gt;""),IF(INDEX(N:N,MATCH($C529,$P:$P,0),1)&lt;&gt;"",$E529*INDEX(N:N,MATCH($C529,$P:$P,0),1)+$G529,""),AND($B529&lt;&gt;"",$D529="COST",$G529&lt;0),$G529,TRUE,)</f>
        <v/>
      </c>
      <c r="J529" s="138" t="str">
        <f t="shared" si="534"/>
        <v/>
      </c>
      <c r="K529" s="266" t="str">
        <f t="shared" si="3"/>
        <v>Vanguard Extended Duration Treasury ETF</v>
      </c>
      <c r="L529" s="156">
        <f t="shared" si="4"/>
        <v>0</v>
      </c>
      <c r="M529" s="156">
        <f t="shared" si="5"/>
        <v>-4941.36</v>
      </c>
      <c r="N529" s="155" t="str">
        <f>IF($P529&lt;&gt;"",IF(MAXIFS(Investment!$M:$M,Investment!$H:$H,LEFT($P529,30)&amp;"*"),MAXIFS(Investment!$M:$M,Investment!$H:$H,LEFT($P529,30)&amp;"*"),),)</f>
        <v/>
      </c>
      <c r="O529" s="158" t="str">
        <f>IF($P529&lt;&gt;"",IF(MAXIFS(Investment!$AH:$AH,Investment!$H:$H,LEFT($P529,30)&amp;"*"),MAXIFS(Investment!$AH:$AH,Investment!$H:$H,LEFT($P529,30)&amp;"*"),),)</f>
        <v/>
      </c>
      <c r="P529" s="299"/>
      <c r="R529" s="52"/>
    </row>
    <row r="530">
      <c r="A530" s="122">
        <v>42733.0</v>
      </c>
      <c r="B530" s="55" t="s">
        <v>268</v>
      </c>
      <c r="C530" s="304" t="s">
        <v>1196</v>
      </c>
      <c r="D530" s="55" t="s">
        <v>272</v>
      </c>
      <c r="E530" s="55"/>
      <c r="F530" s="264"/>
      <c r="G530" s="128">
        <v>71.1</v>
      </c>
      <c r="H530" s="318" t="str">
        <f t="shared" si="515"/>
        <v>Vanguard Extended Duration Treasury ETF@DIVIDEND@@71.1</v>
      </c>
      <c r="I530" s="138" t="str">
        <f t="shared" ref="I530:J530" si="535">IFS(AND($B530&lt;&gt;"",$E530&lt;&gt;""),IF(INDEX(N:N,MATCH($C530,$P:$P,0),1)&lt;&gt;"",$E530*INDEX(N:N,MATCH($C530,$P:$P,0),1)+$G530,""),AND($B530&lt;&gt;"",$D530="COST",$G530&lt;0),$G530,TRUE,)</f>
        <v/>
      </c>
      <c r="J530" s="138" t="str">
        <f t="shared" si="535"/>
        <v/>
      </c>
      <c r="K530" s="266" t="str">
        <f t="shared" si="3"/>
        <v>Vanguard Extended Duration Treasury ETF</v>
      </c>
      <c r="L530" s="156">
        <f t="shared" si="4"/>
        <v>0</v>
      </c>
      <c r="M530" s="156">
        <f t="shared" si="5"/>
        <v>-4941.36</v>
      </c>
      <c r="N530" s="155" t="str">
        <f>IF($P530&lt;&gt;"",IF(MAXIFS(Investment!$M:$M,Investment!$H:$H,LEFT($P530,30)&amp;"*"),MAXIFS(Investment!$M:$M,Investment!$H:$H,LEFT($P530,30)&amp;"*"),),)</f>
        <v/>
      </c>
      <c r="O530" s="158" t="str">
        <f>IF($P530&lt;&gt;"",IF(MAXIFS(Investment!$AH:$AH,Investment!$H:$H,LEFT($P530,30)&amp;"*"),MAXIFS(Investment!$AH:$AH,Investment!$H:$H,LEFT($P530,30)&amp;"*"),),)</f>
        <v/>
      </c>
      <c r="P530" s="299"/>
      <c r="R530" s="52"/>
    </row>
    <row r="531">
      <c r="A531" s="122">
        <v>42733.0</v>
      </c>
      <c r="B531" s="55" t="s">
        <v>343</v>
      </c>
      <c r="C531" s="304" t="s">
        <v>1400</v>
      </c>
      <c r="D531" s="55" t="s">
        <v>272</v>
      </c>
      <c r="E531" s="55"/>
      <c r="F531" s="264"/>
      <c r="G531" s="128">
        <v>46.16</v>
      </c>
      <c r="H531" s="318" t="str">
        <f t="shared" si="515"/>
        <v>Vanguard Total Stock Market ETF@DIVIDEND@@46.16</v>
      </c>
      <c r="I531" s="138" t="str">
        <f t="shared" ref="I531:J531" si="536">IFS(AND($B531&lt;&gt;"",$E531&lt;&gt;""),IF(INDEX(N:N,MATCH($C531,$P:$P,0),1)&lt;&gt;"",$E531*INDEX(N:N,MATCH($C531,$P:$P,0),1)+$G531,""),AND($B531&lt;&gt;"",$D531="COST",$G531&lt;0),$G531,TRUE,)</f>
        <v/>
      </c>
      <c r="J531" s="138" t="str">
        <f t="shared" si="536"/>
        <v/>
      </c>
      <c r="K531" s="266" t="str">
        <f t="shared" si="3"/>
        <v>Vanguard Total Stock Market ETF</v>
      </c>
      <c r="L531" s="156">
        <f t="shared" si="4"/>
        <v>0</v>
      </c>
      <c r="M531" s="156">
        <f t="shared" si="5"/>
        <v>1880.34</v>
      </c>
      <c r="N531" s="155" t="str">
        <f>IF($P531&lt;&gt;"",IF(MAXIFS(Investment!$M:$M,Investment!$H:$H,LEFT($P531,30)&amp;"*"),MAXIFS(Investment!$M:$M,Investment!$H:$H,LEFT($P531,30)&amp;"*"),),)</f>
        <v/>
      </c>
      <c r="O531" s="158" t="str">
        <f>IF($P531&lt;&gt;"",IF(MAXIFS(Investment!$AH:$AH,Investment!$H:$H,LEFT($P531,30)&amp;"*"),MAXIFS(Investment!$AH:$AH,Investment!$H:$H,LEFT($P531,30)&amp;"*"),),)</f>
        <v/>
      </c>
      <c r="P531" s="299"/>
      <c r="R531" s="52"/>
    </row>
    <row r="532">
      <c r="A532" s="122">
        <v>42713.0</v>
      </c>
      <c r="B532" s="55" t="s">
        <v>364</v>
      </c>
      <c r="C532" s="304" t="s">
        <v>1386</v>
      </c>
      <c r="D532" s="55" t="s">
        <v>272</v>
      </c>
      <c r="E532" s="55"/>
      <c r="F532" s="264"/>
      <c r="G532" s="128">
        <v>4.57</v>
      </c>
      <c r="H532" s="318" t="str">
        <f t="shared" si="515"/>
        <v>iShares 7-10 Year Treasury Bond ETF@DIVIDEND@@4.57</v>
      </c>
      <c r="I532" s="138" t="str">
        <f t="shared" ref="I532:J532" si="537">IFS(AND($B532&lt;&gt;"",$E532&lt;&gt;""),IF(INDEX(N:N,MATCH($C532,$P:$P,0),1)&lt;&gt;"",$E532*INDEX(N:N,MATCH($C532,$P:$P,0),1)+$G532,""),AND($B532&lt;&gt;"",$D532="COST",$G532&lt;0),$G532,TRUE,)</f>
        <v/>
      </c>
      <c r="J532" s="138" t="str">
        <f t="shared" si="537"/>
        <v/>
      </c>
      <c r="K532" s="266" t="str">
        <f t="shared" si="3"/>
        <v>iShares 7-10 Year Treasury Bond ETF</v>
      </c>
      <c r="L532" s="156">
        <f t="shared" si="4"/>
        <v>0</v>
      </c>
      <c r="M532" s="156">
        <f t="shared" si="5"/>
        <v>-345.82</v>
      </c>
      <c r="N532" s="155" t="str">
        <f>IF($P532&lt;&gt;"",IF(MAXIFS(Investment!$M:$M,Investment!$H:$H,LEFT($P532,30)&amp;"*"),MAXIFS(Investment!$M:$M,Investment!$H:$H,LEFT($P532,30)&amp;"*"),),)</f>
        <v/>
      </c>
      <c r="O532" s="158" t="str">
        <f>IF($P532&lt;&gt;"",IF(MAXIFS(Investment!$AH:$AH,Investment!$H:$H,LEFT($P532,30)&amp;"*"),MAXIFS(Investment!$AH:$AH,Investment!$H:$H,LEFT($P532,30)&amp;"*"),),)</f>
        <v/>
      </c>
      <c r="P532" s="299"/>
      <c r="R532" s="52"/>
    </row>
    <row r="533">
      <c r="A533" s="122">
        <v>42683.0</v>
      </c>
      <c r="B533" s="55" t="s">
        <v>364</v>
      </c>
      <c r="C533" s="304" t="s">
        <v>1386</v>
      </c>
      <c r="D533" s="55" t="s">
        <v>272</v>
      </c>
      <c r="E533" s="55"/>
      <c r="F533" s="264"/>
      <c r="G533" s="128">
        <v>4.57</v>
      </c>
      <c r="H533" s="318" t="str">
        <f t="shared" si="515"/>
        <v>iShares 7-10 Year Treasury Bond ETF@DIVIDEND@@4.57</v>
      </c>
      <c r="I533" s="138" t="str">
        <f t="shared" ref="I533:J533" si="538">IFS(AND($B533&lt;&gt;"",$E533&lt;&gt;""),IF(INDEX(N:N,MATCH($C533,$P:$P,0),1)&lt;&gt;"",$E533*INDEX(N:N,MATCH($C533,$P:$P,0),1)+$G533,""),AND($B533&lt;&gt;"",$D533="COST",$G533&lt;0),$G533,TRUE,)</f>
        <v/>
      </c>
      <c r="J533" s="138" t="str">
        <f t="shared" si="538"/>
        <v/>
      </c>
      <c r="K533" s="266" t="str">
        <f t="shared" si="3"/>
        <v>iShares 7-10 Year Treasury Bond ETF</v>
      </c>
      <c r="L533" s="156">
        <f t="shared" si="4"/>
        <v>0</v>
      </c>
      <c r="M533" s="156">
        <f t="shared" si="5"/>
        <v>-345.82</v>
      </c>
      <c r="N533" s="155" t="str">
        <f>IF($P533&lt;&gt;"",IF(MAXIFS(Investment!$M:$M,Investment!$H:$H,LEFT($P533,30)&amp;"*"),MAXIFS(Investment!$M:$M,Investment!$H:$H,LEFT($P533,30)&amp;"*"),),)</f>
        <v/>
      </c>
      <c r="O533" s="158" t="str">
        <f>IF($P533&lt;&gt;"",IF(MAXIFS(Investment!$AH:$AH,Investment!$H:$H,LEFT($P533,30)&amp;"*"),MAXIFS(Investment!$AH:$AH,Investment!$H:$H,LEFT($P533,30)&amp;"*"),),)</f>
        <v/>
      </c>
      <c r="P533" s="299"/>
      <c r="R533" s="52"/>
    </row>
    <row r="534">
      <c r="A534" s="122">
        <v>42653.0</v>
      </c>
      <c r="B534" s="170"/>
      <c r="C534" s="311"/>
      <c r="D534" s="326" t="s">
        <v>378</v>
      </c>
      <c r="E534" s="170"/>
      <c r="F534" s="264"/>
      <c r="G534" s="128">
        <v>-0.16</v>
      </c>
      <c r="H534" s="318" t="str">
        <f t="shared" si="515"/>
        <v>@COST@@-0.16</v>
      </c>
      <c r="I534" s="138" t="str">
        <f t="shared" ref="I534:J534" si="539">IFS(AND($B534&lt;&gt;"",$E534&lt;&gt;""),IF(INDEX(N:N,MATCH($C534,$P:$P,0),1)&lt;&gt;"",$E534*INDEX(N:N,MATCH($C534,$P:$P,0),1)+$G534,""),AND($B534&lt;&gt;"",$D534="COST",$G534&lt;0),$G534,TRUE,)</f>
        <v/>
      </c>
      <c r="J534" s="138" t="str">
        <f t="shared" si="539"/>
        <v/>
      </c>
      <c r="K534" s="266" t="str">
        <f t="shared" si="3"/>
        <v/>
      </c>
      <c r="L534" s="156" t="str">
        <f t="shared" si="4"/>
        <v/>
      </c>
      <c r="M534" s="156" t="str">
        <f t="shared" si="5"/>
        <v/>
      </c>
      <c r="N534" s="155" t="str">
        <f>IF($P534&lt;&gt;"",IF(MAXIFS(Investment!$M:$M,Investment!$H:$H,LEFT($P534,30)&amp;"*"),MAXIFS(Investment!$M:$M,Investment!$H:$H,LEFT($P534,30)&amp;"*"),),)</f>
        <v/>
      </c>
      <c r="O534" s="158" t="str">
        <f>IF($P534&lt;&gt;"",IF(MAXIFS(Investment!$AH:$AH,Investment!$H:$H,LEFT($P534,30)&amp;"*"),MAXIFS(Investment!$AH:$AH,Investment!$H:$H,LEFT($P534,30)&amp;"*"),),)</f>
        <v/>
      </c>
      <c r="P534" s="299"/>
      <c r="R534" s="52"/>
    </row>
    <row r="535">
      <c r="A535" s="122">
        <v>42644.0</v>
      </c>
      <c r="B535" s="55" t="s">
        <v>364</v>
      </c>
      <c r="C535" s="304" t="s">
        <v>1386</v>
      </c>
      <c r="D535" s="55" t="s">
        <v>272</v>
      </c>
      <c r="E535" s="55"/>
      <c r="F535" s="264"/>
      <c r="G535" s="128">
        <v>4.4</v>
      </c>
      <c r="H535" s="318" t="str">
        <f t="shared" si="515"/>
        <v>iShares 7-10 Year Treasury Bond ETF@DIVIDEND@@4.4</v>
      </c>
      <c r="I535" s="138" t="str">
        <f t="shared" ref="I535:J535" si="540">IFS(AND($B535&lt;&gt;"",$E535&lt;&gt;""),IF(INDEX(N:N,MATCH($C535,$P:$P,0),1)&lt;&gt;"",$E535*INDEX(N:N,MATCH($C535,$P:$P,0),1)+$G535,""),AND($B535&lt;&gt;"",$D535="COST",$G535&lt;0),$G535,TRUE,)</f>
        <v/>
      </c>
      <c r="J535" s="138" t="str">
        <f t="shared" si="540"/>
        <v/>
      </c>
      <c r="K535" s="266" t="str">
        <f t="shared" si="3"/>
        <v>iShares 7-10 Year Treasury Bond ETF</v>
      </c>
      <c r="L535" s="156">
        <f t="shared" si="4"/>
        <v>0</v>
      </c>
      <c r="M535" s="156">
        <f t="shared" si="5"/>
        <v>-345.82</v>
      </c>
      <c r="N535" s="155" t="str">
        <f>IF($P535&lt;&gt;"",IF(MAXIFS(Investment!$M:$M,Investment!$H:$H,LEFT($P535,30)&amp;"*"),MAXIFS(Investment!$M:$M,Investment!$H:$H,LEFT($P535,30)&amp;"*"),),)</f>
        <v/>
      </c>
      <c r="O535" s="158" t="str">
        <f>IF($P535&lt;&gt;"",IF(MAXIFS(Investment!$AH:$AH,Investment!$H:$H,LEFT($P535,30)&amp;"*"),MAXIFS(Investment!$AH:$AH,Investment!$H:$H,LEFT($P535,30)&amp;"*"),),)</f>
        <v/>
      </c>
      <c r="P535" s="299"/>
      <c r="R535" s="52"/>
    </row>
    <row r="536">
      <c r="A536" s="122">
        <v>42641.0</v>
      </c>
      <c r="B536" s="55" t="s">
        <v>268</v>
      </c>
      <c r="C536" s="304" t="s">
        <v>1196</v>
      </c>
      <c r="D536" s="55" t="s">
        <v>272</v>
      </c>
      <c r="E536" s="55"/>
      <c r="F536" s="264"/>
      <c r="G536" s="128">
        <v>58.66</v>
      </c>
      <c r="H536" s="318" t="str">
        <f t="shared" si="515"/>
        <v>Vanguard Extended Duration Treasury ETF@DIVIDEND@@58.66</v>
      </c>
      <c r="I536" s="138" t="str">
        <f t="shared" ref="I536:J536" si="541">IFS(AND($B536&lt;&gt;"",$E536&lt;&gt;""),IF(INDEX(N:N,MATCH($C536,$P:$P,0),1)&lt;&gt;"",$E536*INDEX(N:N,MATCH($C536,$P:$P,0),1)+$G536,""),AND($B536&lt;&gt;"",$D536="COST",$G536&lt;0),$G536,TRUE,)</f>
        <v/>
      </c>
      <c r="J536" s="138" t="str">
        <f t="shared" si="541"/>
        <v/>
      </c>
      <c r="K536" s="266" t="str">
        <f t="shared" si="3"/>
        <v>Vanguard Extended Duration Treasury ETF</v>
      </c>
      <c r="L536" s="156">
        <f t="shared" si="4"/>
        <v>0</v>
      </c>
      <c r="M536" s="156">
        <f t="shared" si="5"/>
        <v>-4941.36</v>
      </c>
      <c r="N536" s="155" t="str">
        <f>IF($P536&lt;&gt;"",IF(MAXIFS(Investment!$M:$M,Investment!$H:$H,LEFT($P536,30)&amp;"*"),MAXIFS(Investment!$M:$M,Investment!$H:$H,LEFT($P536,30)&amp;"*"),),)</f>
        <v/>
      </c>
      <c r="O536" s="158" t="str">
        <f>IF($P536&lt;&gt;"",IF(MAXIFS(Investment!$AH:$AH,Investment!$H:$H,LEFT($P536,30)&amp;"*"),MAXIFS(Investment!$AH:$AH,Investment!$H:$H,LEFT($P536,30)&amp;"*"),),)</f>
        <v/>
      </c>
      <c r="P536" s="299"/>
      <c r="R536" s="52"/>
    </row>
    <row r="537">
      <c r="A537" s="122">
        <v>42634.0</v>
      </c>
      <c r="B537" s="55" t="s">
        <v>343</v>
      </c>
      <c r="C537" s="304" t="s">
        <v>1400</v>
      </c>
      <c r="D537" s="55" t="s">
        <v>272</v>
      </c>
      <c r="E537" s="55"/>
      <c r="F537" s="264"/>
      <c r="G537" s="128">
        <v>31.85</v>
      </c>
      <c r="H537" s="318" t="str">
        <f t="shared" si="515"/>
        <v>Vanguard Total Stock Market ETF@DIVIDEND@@31.85</v>
      </c>
      <c r="I537" s="138" t="str">
        <f t="shared" ref="I537:J537" si="542">IFS(AND($B537&lt;&gt;"",$E537&lt;&gt;""),IF(INDEX(N:N,MATCH($C537,$P:$P,0),1)&lt;&gt;"",$E537*INDEX(N:N,MATCH($C537,$P:$P,0),1)+$G537,""),AND($B537&lt;&gt;"",$D537="COST",$G537&lt;0),$G537,TRUE,)</f>
        <v/>
      </c>
      <c r="J537" s="138" t="str">
        <f t="shared" si="542"/>
        <v/>
      </c>
      <c r="K537" s="266" t="str">
        <f t="shared" si="3"/>
        <v>Vanguard Total Stock Market ETF</v>
      </c>
      <c r="L537" s="156">
        <f t="shared" si="4"/>
        <v>0</v>
      </c>
      <c r="M537" s="156">
        <f t="shared" si="5"/>
        <v>1880.34</v>
      </c>
      <c r="N537" s="155" t="str">
        <f>IF($P537&lt;&gt;"",IF(MAXIFS(Investment!$M:$M,Investment!$H:$H,LEFT($P537,30)&amp;"*"),MAXIFS(Investment!$M:$M,Investment!$H:$H,LEFT($P537,30)&amp;"*"),),)</f>
        <v/>
      </c>
      <c r="O537" s="158" t="str">
        <f>IF($P537&lt;&gt;"",IF(MAXIFS(Investment!$AH:$AH,Investment!$H:$H,LEFT($P537,30)&amp;"*"),MAXIFS(Investment!$AH:$AH,Investment!$H:$H,LEFT($P537,30)&amp;"*"),),)</f>
        <v/>
      </c>
      <c r="P537" s="299"/>
      <c r="R537" s="52"/>
    </row>
    <row r="538">
      <c r="A538" s="122">
        <v>42632.0</v>
      </c>
      <c r="B538" s="55" t="s">
        <v>364</v>
      </c>
      <c r="C538" s="304" t="s">
        <v>1386</v>
      </c>
      <c r="D538" s="55" t="s">
        <v>272</v>
      </c>
      <c r="E538" s="55"/>
      <c r="F538" s="264"/>
      <c r="G538" s="128">
        <v>3.31</v>
      </c>
      <c r="H538" s="318" t="str">
        <f t="shared" si="515"/>
        <v>iShares 7-10 Year Treasury Bond ETF@DIVIDEND@@3.31</v>
      </c>
      <c r="I538" s="138" t="str">
        <f t="shared" ref="I538:J538" si="543">IFS(AND($B538&lt;&gt;"",$E538&lt;&gt;""),IF(INDEX(N:N,MATCH($C538,$P:$P,0),1)&lt;&gt;"",$E538*INDEX(N:N,MATCH($C538,$P:$P,0),1)+$G538,""),AND($B538&lt;&gt;"",$D538="COST",$G538&lt;0),$G538,TRUE,)</f>
        <v/>
      </c>
      <c r="J538" s="138" t="str">
        <f t="shared" si="543"/>
        <v/>
      </c>
      <c r="K538" s="266" t="str">
        <f t="shared" si="3"/>
        <v>iShares 7-10 Year Treasury Bond ETF</v>
      </c>
      <c r="L538" s="156">
        <f t="shared" si="4"/>
        <v>0</v>
      </c>
      <c r="M538" s="156">
        <f t="shared" si="5"/>
        <v>-345.82</v>
      </c>
      <c r="N538" s="155" t="str">
        <f>IF($P538&lt;&gt;"",IF(MAXIFS(Investment!$M:$M,Investment!$H:$H,LEFT($P538,30)&amp;"*"),MAXIFS(Investment!$M:$M,Investment!$H:$H,LEFT($P538,30)&amp;"*"),),)</f>
        <v/>
      </c>
      <c r="O538" s="158" t="str">
        <f>IF($P538&lt;&gt;"",IF(MAXIFS(Investment!$AH:$AH,Investment!$H:$H,LEFT($P538,30)&amp;"*"),MAXIFS(Investment!$AH:$AH,Investment!$H:$H,LEFT($P538,30)&amp;"*"),),)</f>
        <v/>
      </c>
      <c r="P538" s="299"/>
      <c r="R538" s="52"/>
    </row>
    <row r="539">
      <c r="A539" s="122">
        <v>42632.0</v>
      </c>
      <c r="B539" s="55" t="s">
        <v>268</v>
      </c>
      <c r="C539" s="304" t="s">
        <v>1196</v>
      </c>
      <c r="D539" s="55" t="s">
        <v>272</v>
      </c>
      <c r="E539" s="55"/>
      <c r="F539" s="264"/>
      <c r="G539" s="128">
        <v>21.31</v>
      </c>
      <c r="H539" s="318" t="str">
        <f t="shared" si="515"/>
        <v>Vanguard Extended Duration Treasury ETF@DIVIDEND@@21.31</v>
      </c>
      <c r="I539" s="138" t="str">
        <f t="shared" ref="I539:J539" si="544">IFS(AND($B539&lt;&gt;"",$E539&lt;&gt;""),IF(INDEX(N:N,MATCH($C539,$P:$P,0),1)&lt;&gt;"",$E539*INDEX(N:N,MATCH($C539,$P:$P,0),1)+$G539,""),AND($B539&lt;&gt;"",$D539="COST",$G539&lt;0),$G539,TRUE,)</f>
        <v/>
      </c>
      <c r="J539" s="138" t="str">
        <f t="shared" si="544"/>
        <v/>
      </c>
      <c r="K539" s="266" t="str">
        <f t="shared" si="3"/>
        <v>Vanguard Extended Duration Treasury ETF</v>
      </c>
      <c r="L539" s="156">
        <f t="shared" si="4"/>
        <v>0</v>
      </c>
      <c r="M539" s="156">
        <f t="shared" si="5"/>
        <v>-4941.36</v>
      </c>
      <c r="N539" s="155" t="str">
        <f>IF($P539&lt;&gt;"",IF(MAXIFS(Investment!$M:$M,Investment!$H:$H,LEFT($P539,30)&amp;"*"),MAXIFS(Investment!$M:$M,Investment!$H:$H,LEFT($P539,30)&amp;"*"),),)</f>
        <v/>
      </c>
      <c r="O539" s="158" t="str">
        <f>IF($P539&lt;&gt;"",IF(MAXIFS(Investment!$AH:$AH,Investment!$H:$H,LEFT($P539,30)&amp;"*"),MAXIFS(Investment!$AH:$AH,Investment!$H:$H,LEFT($P539,30)&amp;"*"),),)</f>
        <v/>
      </c>
      <c r="P539" s="299"/>
      <c r="R539" s="52"/>
    </row>
    <row r="540">
      <c r="A540" s="122">
        <v>42625.0</v>
      </c>
      <c r="B540" s="55" t="s">
        <v>364</v>
      </c>
      <c r="C540" s="304" t="s">
        <v>1386</v>
      </c>
      <c r="D540" s="55" t="s">
        <v>272</v>
      </c>
      <c r="E540" s="55"/>
      <c r="F540" s="264"/>
      <c r="G540" s="128">
        <v>4.53</v>
      </c>
      <c r="H540" s="318" t="str">
        <f t="shared" si="515"/>
        <v>iShares 7-10 Year Treasury Bond ETF@DIVIDEND@@4.53</v>
      </c>
      <c r="I540" s="138" t="str">
        <f t="shared" ref="I540:J540" si="545">IFS(AND($B540&lt;&gt;"",$E540&lt;&gt;""),IF(INDEX(N:N,MATCH($C540,$P:$P,0),1)&lt;&gt;"",$E540*INDEX(N:N,MATCH($C540,$P:$P,0),1)+$G540,""),AND($B540&lt;&gt;"",$D540="COST",$G540&lt;0),$G540,TRUE,)</f>
        <v/>
      </c>
      <c r="J540" s="138" t="str">
        <f t="shared" si="545"/>
        <v/>
      </c>
      <c r="K540" s="266" t="str">
        <f t="shared" si="3"/>
        <v>iShares 7-10 Year Treasury Bond ETF</v>
      </c>
      <c r="L540" s="156">
        <f t="shared" si="4"/>
        <v>0</v>
      </c>
      <c r="M540" s="156">
        <f t="shared" si="5"/>
        <v>-345.82</v>
      </c>
      <c r="N540" s="155" t="str">
        <f>IF($P540&lt;&gt;"",IF(MAXIFS(Investment!$M:$M,Investment!$H:$H,LEFT($P540,30)&amp;"*"),MAXIFS(Investment!$M:$M,Investment!$H:$H,LEFT($P540,30)&amp;"*"),),)</f>
        <v/>
      </c>
      <c r="O540" s="158" t="str">
        <f>IF($P540&lt;&gt;"",IF(MAXIFS(Investment!$AH:$AH,Investment!$H:$H,LEFT($P540,30)&amp;"*"),MAXIFS(Investment!$AH:$AH,Investment!$H:$H,LEFT($P540,30)&amp;"*"),),)</f>
        <v/>
      </c>
      <c r="P540" s="299"/>
      <c r="R540" s="52"/>
    </row>
    <row r="541">
      <c r="A541" s="122">
        <v>42605.0</v>
      </c>
      <c r="B541" s="55" t="s">
        <v>364</v>
      </c>
      <c r="C541" s="304" t="s">
        <v>1386</v>
      </c>
      <c r="D541" s="55" t="s">
        <v>272</v>
      </c>
      <c r="E541" s="55"/>
      <c r="F541" s="264"/>
      <c r="G541" s="128">
        <v>4.7</v>
      </c>
      <c r="H541" s="318" t="str">
        <f t="shared" si="515"/>
        <v>iShares 7-10 Year Treasury Bond ETF@DIVIDEND@@4.7</v>
      </c>
      <c r="I541" s="138" t="str">
        <f t="shared" ref="I541:J541" si="546">IFS(AND($B541&lt;&gt;"",$E541&lt;&gt;""),IF(INDEX(N:N,MATCH($C541,$P:$P,0),1)&lt;&gt;"",$E541*INDEX(N:N,MATCH($C541,$P:$P,0),1)+$G541,""),AND($B541&lt;&gt;"",$D541="COST",$G541&lt;0),$G541,TRUE,)</f>
        <v/>
      </c>
      <c r="J541" s="138" t="str">
        <f t="shared" si="546"/>
        <v/>
      </c>
      <c r="K541" s="266" t="str">
        <f t="shared" si="3"/>
        <v>iShares 7-10 Year Treasury Bond ETF</v>
      </c>
      <c r="L541" s="156">
        <f t="shared" si="4"/>
        <v>0</v>
      </c>
      <c r="M541" s="156">
        <f t="shared" si="5"/>
        <v>-345.82</v>
      </c>
      <c r="N541" s="155" t="str">
        <f>IF($P541&lt;&gt;"",IF(MAXIFS(Investment!$M:$M,Investment!$H:$H,LEFT($P541,30)&amp;"*"),MAXIFS(Investment!$M:$M,Investment!$H:$H,LEFT($P541,30)&amp;"*"),),)</f>
        <v/>
      </c>
      <c r="O541" s="158" t="str">
        <f>IF($P541&lt;&gt;"",IF(MAXIFS(Investment!$AH:$AH,Investment!$H:$H,LEFT($P541,30)&amp;"*"),MAXIFS(Investment!$AH:$AH,Investment!$H:$H,LEFT($P541,30)&amp;"*"),),)</f>
        <v/>
      </c>
      <c r="P541" s="299"/>
      <c r="R541" s="52"/>
    </row>
    <row r="542">
      <c r="A542" s="122">
        <v>42563.0</v>
      </c>
      <c r="B542" s="55" t="s">
        <v>364</v>
      </c>
      <c r="C542" s="304" t="s">
        <v>1386</v>
      </c>
      <c r="D542" s="55" t="s">
        <v>272</v>
      </c>
      <c r="E542" s="55"/>
      <c r="F542" s="264"/>
      <c r="G542" s="128">
        <v>4.69</v>
      </c>
      <c r="H542" s="318" t="str">
        <f t="shared" si="515"/>
        <v>iShares 7-10 Year Treasury Bond ETF@DIVIDEND@@4.69</v>
      </c>
      <c r="I542" s="138" t="str">
        <f t="shared" ref="I542:J542" si="547">IFS(AND($B542&lt;&gt;"",$E542&lt;&gt;""),IF(INDEX(N:N,MATCH($C542,$P:$P,0),1)&lt;&gt;"",$E542*INDEX(N:N,MATCH($C542,$P:$P,0),1)+$G542,""),AND($B542&lt;&gt;"",$D542="COST",$G542&lt;0),$G542,TRUE,)</f>
        <v/>
      </c>
      <c r="J542" s="138" t="str">
        <f t="shared" si="547"/>
        <v/>
      </c>
      <c r="K542" s="266" t="str">
        <f t="shared" si="3"/>
        <v>iShares 7-10 Year Treasury Bond ETF</v>
      </c>
      <c r="L542" s="156">
        <f t="shared" si="4"/>
        <v>0</v>
      </c>
      <c r="M542" s="156">
        <f t="shared" si="5"/>
        <v>-345.82</v>
      </c>
      <c r="N542" s="155" t="str">
        <f>IF($P542&lt;&gt;"",IF(MAXIFS(Investment!$M:$M,Investment!$H:$H,LEFT($P542,30)&amp;"*"),MAXIFS(Investment!$M:$M,Investment!$H:$H,LEFT($P542,30)&amp;"*"),),)</f>
        <v/>
      </c>
      <c r="O542" s="158" t="str">
        <f>IF($P542&lt;&gt;"",IF(MAXIFS(Investment!$AH:$AH,Investment!$H:$H,LEFT($P542,30)&amp;"*"),MAXIFS(Investment!$AH:$AH,Investment!$H:$H,LEFT($P542,30)&amp;"*"),),)</f>
        <v/>
      </c>
      <c r="P542" s="299"/>
      <c r="R542" s="52"/>
    </row>
    <row r="543">
      <c r="A543" s="122">
        <v>42557.0</v>
      </c>
      <c r="B543" s="170"/>
      <c r="C543" s="311"/>
      <c r="D543" s="326" t="s">
        <v>378</v>
      </c>
      <c r="E543" s="170"/>
      <c r="F543" s="264"/>
      <c r="G543" s="128">
        <v>-0.17</v>
      </c>
      <c r="H543" s="318" t="str">
        <f t="shared" si="515"/>
        <v>@COST@@-0.17</v>
      </c>
      <c r="I543" s="138" t="str">
        <f t="shared" ref="I543:J543" si="548">IFS(AND($B543&lt;&gt;"",$E543&lt;&gt;""),IF(INDEX(N:N,MATCH($C543,$P:$P,0),1)&lt;&gt;"",$E543*INDEX(N:N,MATCH($C543,$P:$P,0),1)+$G543,""),AND($B543&lt;&gt;"",$D543="COST",$G543&lt;0),$G543,TRUE,)</f>
        <v/>
      </c>
      <c r="J543" s="138" t="str">
        <f t="shared" si="548"/>
        <v/>
      </c>
      <c r="K543" s="266" t="str">
        <f t="shared" si="3"/>
        <v/>
      </c>
      <c r="L543" s="156" t="str">
        <f t="shared" si="4"/>
        <v/>
      </c>
      <c r="M543" s="156" t="str">
        <f t="shared" si="5"/>
        <v/>
      </c>
      <c r="N543" s="155" t="str">
        <f>IF($P543&lt;&gt;"",IF(MAXIFS(Investment!$M:$M,Investment!$H:$H,LEFT($P543,30)&amp;"*"),MAXIFS(Investment!$M:$M,Investment!$H:$H,LEFT($P543,30)&amp;"*"),),)</f>
        <v/>
      </c>
      <c r="O543" s="158" t="str">
        <f>IF($P543&lt;&gt;"",IF(MAXIFS(Investment!$AH:$AH,Investment!$H:$H,LEFT($P543,30)&amp;"*"),MAXIFS(Investment!$AH:$AH,Investment!$H:$H,LEFT($P543,30)&amp;"*"),),)</f>
        <v/>
      </c>
      <c r="P543" s="299"/>
      <c r="R543" s="52"/>
    </row>
    <row r="544">
      <c r="A544" s="122">
        <v>42551.0</v>
      </c>
      <c r="B544" s="55" t="s">
        <v>343</v>
      </c>
      <c r="C544" s="304" t="s">
        <v>1400</v>
      </c>
      <c r="D544" s="55" t="s">
        <v>272</v>
      </c>
      <c r="E544" s="55"/>
      <c r="F544" s="264"/>
      <c r="G544" s="128">
        <v>27.41</v>
      </c>
      <c r="H544" s="318" t="str">
        <f t="shared" si="515"/>
        <v>Vanguard Total Stock Market ETF@DIVIDEND@@27.41</v>
      </c>
      <c r="I544" s="138" t="str">
        <f t="shared" ref="I544:J544" si="549">IFS(AND($B544&lt;&gt;"",$E544&lt;&gt;""),IF(INDEX(N:N,MATCH($C544,$P:$P,0),1)&lt;&gt;"",$E544*INDEX(N:N,MATCH($C544,$P:$P,0),1)+$G544,""),AND($B544&lt;&gt;"",$D544="COST",$G544&lt;0),$G544,TRUE,)</f>
        <v/>
      </c>
      <c r="J544" s="138" t="str">
        <f t="shared" si="549"/>
        <v/>
      </c>
      <c r="K544" s="266" t="str">
        <f t="shared" si="3"/>
        <v>Vanguard Total Stock Market ETF</v>
      </c>
      <c r="L544" s="156">
        <f t="shared" si="4"/>
        <v>0</v>
      </c>
      <c r="M544" s="156">
        <f t="shared" si="5"/>
        <v>1880.34</v>
      </c>
      <c r="N544" s="155" t="str">
        <f>IF($P544&lt;&gt;"",IF(MAXIFS(Investment!$M:$M,Investment!$H:$H,LEFT($P544,30)&amp;"*"),MAXIFS(Investment!$M:$M,Investment!$H:$H,LEFT($P544,30)&amp;"*"),),)</f>
        <v/>
      </c>
      <c r="O544" s="158" t="str">
        <f>IF($P544&lt;&gt;"",IF(MAXIFS(Investment!$AH:$AH,Investment!$H:$H,LEFT($P544,30)&amp;"*"),MAXIFS(Investment!$AH:$AH,Investment!$H:$H,LEFT($P544,30)&amp;"*"),),)</f>
        <v/>
      </c>
      <c r="P544" s="299"/>
      <c r="R544" s="52"/>
    </row>
    <row r="545">
      <c r="A545" s="122">
        <v>42550.0</v>
      </c>
      <c r="B545" s="55" t="s">
        <v>268</v>
      </c>
      <c r="C545" s="304" t="s">
        <v>1196</v>
      </c>
      <c r="D545" s="55" t="s">
        <v>272</v>
      </c>
      <c r="E545" s="55"/>
      <c r="F545" s="264"/>
      <c r="G545" s="128">
        <v>56.25</v>
      </c>
      <c r="H545" s="318" t="str">
        <f t="shared" si="515"/>
        <v>Vanguard Extended Duration Treasury ETF@DIVIDEND@@56.25</v>
      </c>
      <c r="I545" s="138" t="str">
        <f t="shared" ref="I545:J545" si="550">IFS(AND($B545&lt;&gt;"",$E545&lt;&gt;""),IF(INDEX(N:N,MATCH($C545,$P:$P,0),1)&lt;&gt;"",$E545*INDEX(N:N,MATCH($C545,$P:$P,0),1)+$G545,""),AND($B545&lt;&gt;"",$D545="COST",$G545&lt;0),$G545,TRUE,)</f>
        <v/>
      </c>
      <c r="J545" s="138" t="str">
        <f t="shared" si="550"/>
        <v/>
      </c>
      <c r="K545" s="266" t="str">
        <f t="shared" si="3"/>
        <v>Vanguard Extended Duration Treasury ETF</v>
      </c>
      <c r="L545" s="156">
        <f t="shared" si="4"/>
        <v>0</v>
      </c>
      <c r="M545" s="156">
        <f t="shared" si="5"/>
        <v>-4941.36</v>
      </c>
      <c r="N545" s="155" t="str">
        <f>IF($P545&lt;&gt;"",IF(MAXIFS(Investment!$M:$M,Investment!$H:$H,LEFT($P545,30)&amp;"*"),MAXIFS(Investment!$M:$M,Investment!$H:$H,LEFT($P545,30)&amp;"*"),),)</f>
        <v/>
      </c>
      <c r="O545" s="158" t="str">
        <f>IF($P545&lt;&gt;"",IF(MAXIFS(Investment!$AH:$AH,Investment!$H:$H,LEFT($P545,30)&amp;"*"),MAXIFS(Investment!$AH:$AH,Investment!$H:$H,LEFT($P545,30)&amp;"*"),),)</f>
        <v/>
      </c>
      <c r="P545" s="299"/>
      <c r="R545" s="52"/>
    </row>
    <row r="546">
      <c r="A546" s="122">
        <v>42536.0</v>
      </c>
      <c r="B546" s="55" t="s">
        <v>364</v>
      </c>
      <c r="C546" s="304" t="s">
        <v>1386</v>
      </c>
      <c r="D546" s="55" t="s">
        <v>272</v>
      </c>
      <c r="E546" s="55"/>
      <c r="F546" s="264"/>
      <c r="G546" s="128">
        <v>4.72</v>
      </c>
      <c r="H546" s="318" t="str">
        <f t="shared" si="515"/>
        <v>iShares 7-10 Year Treasury Bond ETF@DIVIDEND@@4.72</v>
      </c>
      <c r="I546" s="138" t="str">
        <f t="shared" ref="I546:J546" si="551">IFS(AND($B546&lt;&gt;"",$E546&lt;&gt;""),IF(INDEX(N:N,MATCH($C546,$P:$P,0),1)&lt;&gt;"",$E546*INDEX(N:N,MATCH($C546,$P:$P,0),1)+$G546,""),AND($B546&lt;&gt;"",$D546="COST",$G546&lt;0),$G546,TRUE,)</f>
        <v/>
      </c>
      <c r="J546" s="138" t="str">
        <f t="shared" si="551"/>
        <v/>
      </c>
      <c r="K546" s="266" t="str">
        <f t="shared" si="3"/>
        <v>iShares 7-10 Year Treasury Bond ETF</v>
      </c>
      <c r="L546" s="156">
        <f t="shared" si="4"/>
        <v>0</v>
      </c>
      <c r="M546" s="156">
        <f t="shared" si="5"/>
        <v>-345.82</v>
      </c>
      <c r="N546" s="155" t="str">
        <f>IF($P546&lt;&gt;"",IF(MAXIFS(Investment!$M:$M,Investment!$H:$H,LEFT($P546,30)&amp;"*"),MAXIFS(Investment!$M:$M,Investment!$H:$H,LEFT($P546,30)&amp;"*"),),)</f>
        <v/>
      </c>
      <c r="O546" s="158" t="str">
        <f>IF($P546&lt;&gt;"",IF(MAXIFS(Investment!$AH:$AH,Investment!$H:$H,LEFT($P546,30)&amp;"*"),MAXIFS(Investment!$AH:$AH,Investment!$H:$H,LEFT($P546,30)&amp;"*"),),)</f>
        <v/>
      </c>
      <c r="P546" s="299"/>
      <c r="R546" s="52"/>
    </row>
    <row r="547">
      <c r="A547" s="122">
        <v>42501.0</v>
      </c>
      <c r="B547" s="55" t="s">
        <v>364</v>
      </c>
      <c r="C547" s="304" t="s">
        <v>1386</v>
      </c>
      <c r="D547" s="55" t="s">
        <v>272</v>
      </c>
      <c r="E547" s="55"/>
      <c r="F547" s="264"/>
      <c r="G547" s="128">
        <v>4.65</v>
      </c>
      <c r="H547" s="318" t="str">
        <f t="shared" si="515"/>
        <v>iShares 7-10 Year Treasury Bond ETF@DIVIDEND@@4.65</v>
      </c>
      <c r="I547" s="138" t="str">
        <f t="shared" ref="I547:J547" si="552">IFS(AND($B547&lt;&gt;"",$E547&lt;&gt;""),IF(INDEX(N:N,MATCH($C547,$P:$P,0),1)&lt;&gt;"",$E547*INDEX(N:N,MATCH($C547,$P:$P,0),1)+$G547,""),AND($B547&lt;&gt;"",$D547="COST",$G547&lt;0),$G547,TRUE,)</f>
        <v/>
      </c>
      <c r="J547" s="138" t="str">
        <f t="shared" si="552"/>
        <v/>
      </c>
      <c r="K547" s="266" t="str">
        <f t="shared" si="3"/>
        <v>iShares 7-10 Year Treasury Bond ETF</v>
      </c>
      <c r="L547" s="156">
        <f t="shared" si="4"/>
        <v>0</v>
      </c>
      <c r="M547" s="156">
        <f t="shared" si="5"/>
        <v>-345.82</v>
      </c>
      <c r="N547" s="155" t="str">
        <f>IF($P547&lt;&gt;"",IF(MAXIFS(Investment!$M:$M,Investment!$H:$H,LEFT($P547,30)&amp;"*"),MAXIFS(Investment!$M:$M,Investment!$H:$H,LEFT($P547,30)&amp;"*"),),)</f>
        <v/>
      </c>
      <c r="O547" s="158" t="str">
        <f>IF($P547&lt;&gt;"",IF(MAXIFS(Investment!$AH:$AH,Investment!$H:$H,LEFT($P547,30)&amp;"*"),MAXIFS(Investment!$AH:$AH,Investment!$H:$H,LEFT($P547,30)&amp;"*"),),)</f>
        <v/>
      </c>
      <c r="P547" s="299"/>
      <c r="R547" s="52"/>
    </row>
    <row r="548">
      <c r="A548" s="122">
        <v>42478.0</v>
      </c>
      <c r="B548" s="124"/>
      <c r="C548" s="124"/>
      <c r="D548" s="124" t="s">
        <v>378</v>
      </c>
      <c r="E548" s="125"/>
      <c r="F548" s="126"/>
      <c r="G548" s="128">
        <v>6.89</v>
      </c>
      <c r="H548" s="249" t="s">
        <v>1428</v>
      </c>
      <c r="I548" s="138" t="str">
        <f t="shared" ref="I548:J548" si="553">IFS(AND($B548&lt;&gt;"",$E548&lt;&gt;""),IF(INDEX(N:N,MATCH($C548,$P:$P,0),1)&lt;&gt;"",$E548*INDEX(N:N,MATCH($C548,$P:$P,0),1)+$G548,""),AND($B548&lt;&gt;"",$D548="COST",$G548&lt;0),$G548,TRUE,)</f>
        <v/>
      </c>
      <c r="J548" s="138" t="str">
        <f t="shared" si="553"/>
        <v/>
      </c>
      <c r="K548" s="266" t="str">
        <f t="shared" si="3"/>
        <v/>
      </c>
      <c r="L548" s="156" t="str">
        <f t="shared" si="4"/>
        <v/>
      </c>
      <c r="M548" s="156" t="str">
        <f t="shared" si="5"/>
        <v/>
      </c>
      <c r="N548" s="155" t="str">
        <f>IF($P548&lt;&gt;"",IF(MAXIFS(Investment!$M:$M,Investment!$H:$H,LEFT($P548,30)&amp;"*"),MAXIFS(Investment!$M:$M,Investment!$H:$H,LEFT($P548,30)&amp;"*"),),)</f>
        <v/>
      </c>
      <c r="O548" s="158" t="str">
        <f>IF($P548&lt;&gt;"",IF(MAXIFS(Investment!$AH:$AH,Investment!$H:$H,LEFT($P548,30)&amp;"*"),MAXIFS(Investment!$AH:$AH,Investment!$H:$H,LEFT($P548,30)&amp;"*"),),)</f>
        <v/>
      </c>
      <c r="P548" s="299"/>
      <c r="R548" s="52"/>
    </row>
    <row r="549">
      <c r="A549" s="122">
        <v>42478.0</v>
      </c>
      <c r="B549" s="55" t="s">
        <v>364</v>
      </c>
      <c r="C549" s="304" t="s">
        <v>1386</v>
      </c>
      <c r="D549" s="55" t="s">
        <v>330</v>
      </c>
      <c r="E549" s="55">
        <v>11.0</v>
      </c>
      <c r="F549" s="264">
        <v>97.7077</v>
      </c>
      <c r="G549" s="128">
        <v>-1083.28</v>
      </c>
      <c r="H549" s="318" t="str">
        <f t="shared" ref="H549:H661" si="555">IF(D549&lt;&gt;"",C549 &amp; "@" &amp; D549 &amp; "@" &amp; E549 &amp; "@" &amp; G549,"")</f>
        <v>iShares 7-10 Year Treasury Bond ETF@BUY@11@-1083.28</v>
      </c>
      <c r="I549" s="138" t="str">
        <f t="shared" ref="I549:J549" si="554">IFS(AND($B549&lt;&gt;"",$E549&lt;&gt;""),IF(INDEX(N:N,MATCH($C549,$P:$P,0),1)&lt;&gt;"",$E549*INDEX(N:N,MATCH($C549,$P:$P,0),1)+$G549,""),AND($B549&lt;&gt;"",$D549="COST",$G549&lt;0),$G549,TRUE,)</f>
        <v/>
      </c>
      <c r="J549" s="138" t="str">
        <f t="shared" si="554"/>
        <v/>
      </c>
      <c r="K549" s="266" t="str">
        <f t="shared" si="3"/>
        <v>iShares 7-10 Year Treasury Bond ETF</v>
      </c>
      <c r="L549" s="156">
        <f t="shared" si="4"/>
        <v>0</v>
      </c>
      <c r="M549" s="156">
        <f t="shared" si="5"/>
        <v>-345.82</v>
      </c>
      <c r="N549" s="155" t="str">
        <f>IF($P549&lt;&gt;"",IF(MAXIFS(Investment!$M:$M,Investment!$H:$H,LEFT($P549,30)&amp;"*"),MAXIFS(Investment!$M:$M,Investment!$H:$H,LEFT($P549,30)&amp;"*"),),)</f>
        <v/>
      </c>
      <c r="O549" s="158" t="str">
        <f>IF($P549&lt;&gt;"",IF(MAXIFS(Investment!$AH:$AH,Investment!$H:$H,LEFT($P549,30)&amp;"*"),MAXIFS(Investment!$AH:$AH,Investment!$H:$H,LEFT($P549,30)&amp;"*"),),)</f>
        <v/>
      </c>
      <c r="P549" s="299"/>
      <c r="R549" s="52"/>
    </row>
    <row r="550">
      <c r="A550" s="122">
        <v>42478.0</v>
      </c>
      <c r="B550" s="55" t="s">
        <v>268</v>
      </c>
      <c r="C550" s="304" t="s">
        <v>1196</v>
      </c>
      <c r="D550" s="55" t="s">
        <v>330</v>
      </c>
      <c r="E550" s="55">
        <v>19.0</v>
      </c>
      <c r="F550" s="264">
        <v>112.6586</v>
      </c>
      <c r="G550" s="128">
        <v>-2149.01</v>
      </c>
      <c r="H550" s="318" t="str">
        <f t="shared" si="555"/>
        <v>Vanguard Extended Duration Treasury ETF@BUY@19@-2149.01</v>
      </c>
      <c r="I550" s="138" t="str">
        <f t="shared" ref="I550:J550" si="556">IFS(AND($B550&lt;&gt;"",$E550&lt;&gt;""),IF(INDEX(N:N,MATCH($C550,$P:$P,0),1)&lt;&gt;"",$E550*INDEX(N:N,MATCH($C550,$P:$P,0),1)+$G550,""),AND($B550&lt;&gt;"",$D550="COST",$G550&lt;0),$G550,TRUE,)</f>
        <v/>
      </c>
      <c r="J550" s="138" t="str">
        <f t="shared" si="556"/>
        <v/>
      </c>
      <c r="K550" s="266" t="str">
        <f t="shared" si="3"/>
        <v>Vanguard Extended Duration Treasury ETF</v>
      </c>
      <c r="L550" s="156">
        <f t="shared" si="4"/>
        <v>0</v>
      </c>
      <c r="M550" s="156">
        <f t="shared" si="5"/>
        <v>-4941.36</v>
      </c>
      <c r="N550" s="155" t="str">
        <f>IF($P550&lt;&gt;"",IF(MAXIFS(Investment!$M:$M,Investment!$H:$H,LEFT($P550,30)&amp;"*"),MAXIFS(Investment!$M:$M,Investment!$H:$H,LEFT($P550,30)&amp;"*"),),)</f>
        <v/>
      </c>
      <c r="O550" s="158" t="str">
        <f>IF($P550&lt;&gt;"",IF(MAXIFS(Investment!$AH:$AH,Investment!$H:$H,LEFT($P550,30)&amp;"*"),MAXIFS(Investment!$AH:$AH,Investment!$H:$H,LEFT($P550,30)&amp;"*"),),)</f>
        <v/>
      </c>
      <c r="P550" s="299"/>
      <c r="R550" s="52"/>
    </row>
    <row r="551">
      <c r="A551" s="122">
        <v>42478.0</v>
      </c>
      <c r="B551" s="55" t="s">
        <v>343</v>
      </c>
      <c r="C551" s="304" t="s">
        <v>1400</v>
      </c>
      <c r="D551" s="55" t="s">
        <v>330</v>
      </c>
      <c r="E551" s="55">
        <v>21.0</v>
      </c>
      <c r="F551" s="264">
        <v>94.3352</v>
      </c>
      <c r="G551" s="128">
        <v>-1989.54</v>
      </c>
      <c r="H551" s="318" t="str">
        <f t="shared" si="555"/>
        <v>Vanguard Total Stock Market ETF@BUY@21@-1989.54</v>
      </c>
      <c r="I551" s="138" t="str">
        <f t="shared" ref="I551:J551" si="557">IFS(AND($B551&lt;&gt;"",$E551&lt;&gt;""),IF(INDEX(N:N,MATCH($C551,$P:$P,0),1)&lt;&gt;"",$E551*INDEX(N:N,MATCH($C551,$P:$P,0),1)+$G551,""),AND($B551&lt;&gt;"",$D551="COST",$G551&lt;0),$G551,TRUE,)</f>
        <v/>
      </c>
      <c r="J551" s="138" t="str">
        <f t="shared" si="557"/>
        <v/>
      </c>
      <c r="K551" s="266" t="str">
        <f t="shared" si="3"/>
        <v>Vanguard Total Stock Market ETF</v>
      </c>
      <c r="L551" s="156">
        <f t="shared" si="4"/>
        <v>0</v>
      </c>
      <c r="M551" s="156">
        <f t="shared" si="5"/>
        <v>1880.34</v>
      </c>
      <c r="N551" s="155" t="str">
        <f>IF($P551&lt;&gt;"",IF(MAXIFS(Investment!$M:$M,Investment!$H:$H,LEFT($P551,30)&amp;"*"),MAXIFS(Investment!$M:$M,Investment!$H:$H,LEFT($P551,30)&amp;"*"),),)</f>
        <v/>
      </c>
      <c r="O551" s="158" t="str">
        <f>IF($P551&lt;&gt;"",IF(MAXIFS(Investment!$AH:$AH,Investment!$H:$H,LEFT($P551,30)&amp;"*"),MAXIFS(Investment!$AH:$AH,Investment!$H:$H,LEFT($P551,30)&amp;"*"),),)</f>
        <v/>
      </c>
      <c r="P551" s="299"/>
      <c r="R551" s="52"/>
    </row>
    <row r="552">
      <c r="A552" s="122">
        <v>42471.0</v>
      </c>
      <c r="B552" s="55" t="s">
        <v>364</v>
      </c>
      <c r="C552" s="304" t="s">
        <v>1386</v>
      </c>
      <c r="D552" s="55" t="s">
        <v>272</v>
      </c>
      <c r="E552" s="55"/>
      <c r="F552" s="264"/>
      <c r="G552" s="128">
        <v>4.08</v>
      </c>
      <c r="H552" s="318" t="str">
        <f t="shared" si="555"/>
        <v>iShares 7-10 Year Treasury Bond ETF@DIVIDEND@@4.08</v>
      </c>
      <c r="I552" s="138" t="str">
        <f t="shared" ref="I552:J552" si="558">IFS(AND($B552&lt;&gt;"",$E552&lt;&gt;""),IF(INDEX(N:N,MATCH($C552,$P:$P,0),1)&lt;&gt;"",$E552*INDEX(N:N,MATCH($C552,$P:$P,0),1)+$G552,""),AND($B552&lt;&gt;"",$D552="COST",$G552&lt;0),$G552,TRUE,)</f>
        <v/>
      </c>
      <c r="J552" s="138" t="str">
        <f t="shared" si="558"/>
        <v/>
      </c>
      <c r="K552" s="266" t="str">
        <f t="shared" si="3"/>
        <v>iShares 7-10 Year Treasury Bond ETF</v>
      </c>
      <c r="L552" s="156">
        <f t="shared" si="4"/>
        <v>0</v>
      </c>
      <c r="M552" s="156">
        <f t="shared" si="5"/>
        <v>-345.82</v>
      </c>
      <c r="N552" s="155" t="str">
        <f>IF($P552&lt;&gt;"",IF(MAXIFS(Investment!$M:$M,Investment!$H:$H,LEFT($P552,30)&amp;"*"),MAXIFS(Investment!$M:$M,Investment!$H:$H,LEFT($P552,30)&amp;"*"),),)</f>
        <v/>
      </c>
      <c r="O552" s="158" t="str">
        <f>IF($P552&lt;&gt;"",IF(MAXIFS(Investment!$AH:$AH,Investment!$H:$H,LEFT($P552,30)&amp;"*"),MAXIFS(Investment!$AH:$AH,Investment!$H:$H,LEFT($P552,30)&amp;"*"),),)</f>
        <v/>
      </c>
      <c r="P552" s="299"/>
      <c r="R552" s="52"/>
    </row>
    <row r="553">
      <c r="A553" s="122">
        <v>42459.0</v>
      </c>
      <c r="B553" s="55" t="s">
        <v>268</v>
      </c>
      <c r="C553" s="304" t="s">
        <v>1196</v>
      </c>
      <c r="D553" s="55" t="s">
        <v>272</v>
      </c>
      <c r="E553" s="55"/>
      <c r="F553" s="264"/>
      <c r="G553" s="128">
        <v>41.4</v>
      </c>
      <c r="H553" s="318" t="str">
        <f t="shared" si="555"/>
        <v>Vanguard Extended Duration Treasury ETF@DIVIDEND@@41.4</v>
      </c>
      <c r="I553" s="138" t="str">
        <f t="shared" ref="I553:J553" si="559">IFS(AND($B553&lt;&gt;"",$E553&lt;&gt;""),IF(INDEX(N:N,MATCH($C553,$P:$P,0),1)&lt;&gt;"",$E553*INDEX(N:N,MATCH($C553,$P:$P,0),1)+$G553,""),AND($B553&lt;&gt;"",$D553="COST",$G553&lt;0),$G553,TRUE,)</f>
        <v/>
      </c>
      <c r="J553" s="138" t="str">
        <f t="shared" si="559"/>
        <v/>
      </c>
      <c r="K553" s="266" t="str">
        <f t="shared" si="3"/>
        <v>Vanguard Extended Duration Treasury ETF</v>
      </c>
      <c r="L553" s="156">
        <f t="shared" si="4"/>
        <v>0</v>
      </c>
      <c r="M553" s="156">
        <f t="shared" si="5"/>
        <v>-4941.36</v>
      </c>
      <c r="N553" s="155" t="str">
        <f>IF($P553&lt;&gt;"",IF(MAXIFS(Investment!$M:$M,Investment!$H:$H,LEFT($P553,30)&amp;"*"),MAXIFS(Investment!$M:$M,Investment!$H:$H,LEFT($P553,30)&amp;"*"),),)</f>
        <v/>
      </c>
      <c r="O553" s="158" t="str">
        <f>IF($P553&lt;&gt;"",IF(MAXIFS(Investment!$AH:$AH,Investment!$H:$H,LEFT($P553,30)&amp;"*"),MAXIFS(Investment!$AH:$AH,Investment!$H:$H,LEFT($P553,30)&amp;"*"),),)</f>
        <v/>
      </c>
      <c r="P553" s="299"/>
      <c r="R553" s="52"/>
    </row>
    <row r="554">
      <c r="A554" s="122">
        <v>42452.0</v>
      </c>
      <c r="B554" s="55" t="s">
        <v>343</v>
      </c>
      <c r="C554" s="304" t="s">
        <v>1400</v>
      </c>
      <c r="D554" s="55" t="s">
        <v>272</v>
      </c>
      <c r="E554" s="55"/>
      <c r="F554" s="264"/>
      <c r="G554" s="128">
        <v>23.94</v>
      </c>
      <c r="H554" s="318" t="str">
        <f t="shared" si="555"/>
        <v>Vanguard Total Stock Market ETF@DIVIDEND@@23.94</v>
      </c>
      <c r="I554" s="138" t="str">
        <f t="shared" ref="I554:J554" si="560">IFS(AND($B554&lt;&gt;"",$E554&lt;&gt;""),IF(INDEX(N:N,MATCH($C554,$P:$P,0),1)&lt;&gt;"",$E554*INDEX(N:N,MATCH($C554,$P:$P,0),1)+$G554,""),AND($B554&lt;&gt;"",$D554="COST",$G554&lt;0),$G554,TRUE,)</f>
        <v/>
      </c>
      <c r="J554" s="138" t="str">
        <f t="shared" si="560"/>
        <v/>
      </c>
      <c r="K554" s="266" t="str">
        <f t="shared" si="3"/>
        <v>Vanguard Total Stock Market ETF</v>
      </c>
      <c r="L554" s="156">
        <f t="shared" si="4"/>
        <v>0</v>
      </c>
      <c r="M554" s="156">
        <f t="shared" si="5"/>
        <v>1880.34</v>
      </c>
      <c r="N554" s="155" t="str">
        <f>IF($P554&lt;&gt;"",IF(MAXIFS(Investment!$M:$M,Investment!$H:$H,LEFT($P554,30)&amp;"*"),MAXIFS(Investment!$M:$M,Investment!$H:$H,LEFT($P554,30)&amp;"*"),),)</f>
        <v/>
      </c>
      <c r="O554" s="158" t="str">
        <f>IF($P554&lt;&gt;"",IF(MAXIFS(Investment!$AH:$AH,Investment!$H:$H,LEFT($P554,30)&amp;"*"),MAXIFS(Investment!$AH:$AH,Investment!$H:$H,LEFT($P554,30)&amp;"*"),),)</f>
        <v/>
      </c>
      <c r="P554" s="299"/>
      <c r="R554" s="52"/>
    </row>
    <row r="555">
      <c r="A555" s="122">
        <v>42437.0</v>
      </c>
      <c r="B555" s="55" t="s">
        <v>364</v>
      </c>
      <c r="C555" s="304" t="s">
        <v>1386</v>
      </c>
      <c r="D555" s="55" t="s">
        <v>272</v>
      </c>
      <c r="E555" s="55"/>
      <c r="F555" s="264"/>
      <c r="G555" s="128">
        <v>3.92</v>
      </c>
      <c r="H555" s="318" t="str">
        <f t="shared" si="555"/>
        <v>iShares 7-10 Year Treasury Bond ETF@DIVIDEND@@3.92</v>
      </c>
      <c r="I555" s="138" t="str">
        <f t="shared" ref="I555:J555" si="561">IFS(AND($B555&lt;&gt;"",$E555&lt;&gt;""),IF(INDEX(N:N,MATCH($C555,$P:$P,0),1)&lt;&gt;"",$E555*INDEX(N:N,MATCH($C555,$P:$P,0),1)+$G555,""),AND($B555&lt;&gt;"",$D555="COST",$G555&lt;0),$G555,TRUE,)</f>
        <v/>
      </c>
      <c r="J555" s="138" t="str">
        <f t="shared" si="561"/>
        <v/>
      </c>
      <c r="K555" s="266" t="str">
        <f t="shared" si="3"/>
        <v>iShares 7-10 Year Treasury Bond ETF</v>
      </c>
      <c r="L555" s="156">
        <f t="shared" si="4"/>
        <v>0</v>
      </c>
      <c r="M555" s="156">
        <f t="shared" si="5"/>
        <v>-345.82</v>
      </c>
      <c r="N555" s="155" t="str">
        <f>IF($P555&lt;&gt;"",IF(MAXIFS(Investment!$M:$M,Investment!$H:$H,LEFT($P555,30)&amp;"*"),MAXIFS(Investment!$M:$M,Investment!$H:$H,LEFT($P555,30)&amp;"*"),),)</f>
        <v/>
      </c>
      <c r="O555" s="158" t="str">
        <f>IF($P555&lt;&gt;"",IF(MAXIFS(Investment!$AH:$AH,Investment!$H:$H,LEFT($P555,30)&amp;"*"),MAXIFS(Investment!$AH:$AH,Investment!$H:$H,LEFT($P555,30)&amp;"*"),),)</f>
        <v/>
      </c>
      <c r="P555" s="299"/>
      <c r="R555" s="52"/>
    </row>
    <row r="556">
      <c r="A556" s="122">
        <v>42409.0</v>
      </c>
      <c r="B556" s="55" t="s">
        <v>364</v>
      </c>
      <c r="C556" s="304" t="s">
        <v>1386</v>
      </c>
      <c r="D556" s="55" t="s">
        <v>272</v>
      </c>
      <c r="E556" s="55"/>
      <c r="F556" s="264"/>
      <c r="G556" s="128">
        <v>3.92</v>
      </c>
      <c r="H556" s="318" t="str">
        <f t="shared" si="555"/>
        <v>iShares 7-10 Year Treasury Bond ETF@DIVIDEND@@3.92</v>
      </c>
      <c r="I556" s="138" t="str">
        <f t="shared" ref="I556:J556" si="562">IFS(AND($B556&lt;&gt;"",$E556&lt;&gt;""),IF(INDEX(N:N,MATCH($C556,$P:$P,0),1)&lt;&gt;"",$E556*INDEX(N:N,MATCH($C556,$P:$P,0),1)+$G556,""),AND($B556&lt;&gt;"",$D556="COST",$G556&lt;0),$G556,TRUE,)</f>
        <v/>
      </c>
      <c r="J556" s="138" t="str">
        <f t="shared" si="562"/>
        <v/>
      </c>
      <c r="K556" s="266" t="str">
        <f t="shared" si="3"/>
        <v>iShares 7-10 Year Treasury Bond ETF</v>
      </c>
      <c r="L556" s="156">
        <f t="shared" si="4"/>
        <v>0</v>
      </c>
      <c r="M556" s="156">
        <f t="shared" si="5"/>
        <v>-345.82</v>
      </c>
      <c r="N556" s="155" t="str">
        <f>IF($P556&lt;&gt;"",IF(MAXIFS(Investment!$M:$M,Investment!$H:$H,LEFT($P556,30)&amp;"*"),MAXIFS(Investment!$M:$M,Investment!$H:$H,LEFT($P556,30)&amp;"*"),),)</f>
        <v/>
      </c>
      <c r="O556" s="158" t="str">
        <f>IF($P556&lt;&gt;"",IF(MAXIFS(Investment!$AH:$AH,Investment!$H:$H,LEFT($P556,30)&amp;"*"),MAXIFS(Investment!$AH:$AH,Investment!$H:$H,LEFT($P556,30)&amp;"*"),),)</f>
        <v/>
      </c>
      <c r="P556" s="299"/>
      <c r="R556" s="52"/>
    </row>
    <row r="557">
      <c r="A557" s="122">
        <v>42375.0</v>
      </c>
      <c r="B557" s="170"/>
      <c r="C557" s="311"/>
      <c r="D557" s="326" t="s">
        <v>378</v>
      </c>
      <c r="E557" s="170"/>
      <c r="F557" s="264"/>
      <c r="G557" s="128">
        <v>-0.22</v>
      </c>
      <c r="H557" s="318" t="str">
        <f t="shared" si="555"/>
        <v>@COST@@-0.22</v>
      </c>
      <c r="I557" s="138" t="str">
        <f t="shared" ref="I557:J557" si="563">IFS(AND($B557&lt;&gt;"",$E557&lt;&gt;""),IF(INDEX(N:N,MATCH($C557,$P:$P,0),1)&lt;&gt;"",$E557*INDEX(N:N,MATCH($C557,$P:$P,0),1)+$G557,""),AND($B557&lt;&gt;"",$D557="COST",$G557&lt;0),$G557,TRUE,)</f>
        <v/>
      </c>
      <c r="J557" s="138" t="str">
        <f t="shared" si="563"/>
        <v/>
      </c>
      <c r="K557" s="266" t="str">
        <f t="shared" si="3"/>
        <v/>
      </c>
      <c r="L557" s="156" t="str">
        <f t="shared" si="4"/>
        <v/>
      </c>
      <c r="M557" s="156" t="str">
        <f t="shared" si="5"/>
        <v/>
      </c>
      <c r="N557" s="155" t="str">
        <f>IF($P557&lt;&gt;"",IF(MAXIFS(Investment!$M:$M,Investment!$H:$H,LEFT($P557,30)&amp;"*"),MAXIFS(Investment!$M:$M,Investment!$H:$H,LEFT($P557,30)&amp;"*"),),)</f>
        <v/>
      </c>
      <c r="O557" s="158" t="str">
        <f>IF($P557&lt;&gt;"",IF(MAXIFS(Investment!$AH:$AH,Investment!$H:$H,LEFT($P557,30)&amp;"*"),MAXIFS(Investment!$AH:$AH,Investment!$H:$H,LEFT($P557,30)&amp;"*"),),)</f>
        <v/>
      </c>
      <c r="P557" s="299"/>
      <c r="R557" s="52"/>
    </row>
    <row r="558">
      <c r="A558" s="122">
        <v>42374.0</v>
      </c>
      <c r="B558" s="55" t="s">
        <v>343</v>
      </c>
      <c r="C558" s="304" t="s">
        <v>1400</v>
      </c>
      <c r="D558" s="55" t="s">
        <v>272</v>
      </c>
      <c r="E558" s="55"/>
      <c r="F558" s="264"/>
      <c r="G558" s="128">
        <v>29.75</v>
      </c>
      <c r="H558" s="318" t="str">
        <f t="shared" si="555"/>
        <v>Vanguard Total Stock Market ETF@DIVIDEND@@29.75</v>
      </c>
      <c r="I558" s="138" t="str">
        <f t="shared" ref="I558:J558" si="564">IFS(AND($B558&lt;&gt;"",$E558&lt;&gt;""),IF(INDEX(N:N,MATCH($C558,$P:$P,0),1)&lt;&gt;"",$E558*INDEX(N:N,MATCH($C558,$P:$P,0),1)+$G558,""),AND($B558&lt;&gt;"",$D558="COST",$G558&lt;0),$G558,TRUE,)</f>
        <v/>
      </c>
      <c r="J558" s="138" t="str">
        <f t="shared" si="564"/>
        <v/>
      </c>
      <c r="K558" s="266" t="str">
        <f t="shared" si="3"/>
        <v>Vanguard Total Stock Market ETF</v>
      </c>
      <c r="L558" s="156">
        <f t="shared" si="4"/>
        <v>0</v>
      </c>
      <c r="M558" s="156">
        <f t="shared" si="5"/>
        <v>1880.34</v>
      </c>
      <c r="N558" s="155" t="str">
        <f>IF($P558&lt;&gt;"",IF(MAXIFS(Investment!$M:$M,Investment!$H:$H,LEFT($P558,30)&amp;"*"),MAXIFS(Investment!$M:$M,Investment!$H:$H,LEFT($P558,30)&amp;"*"),),)</f>
        <v/>
      </c>
      <c r="O558" s="158" t="str">
        <f>IF($P558&lt;&gt;"",IF(MAXIFS(Investment!$AH:$AH,Investment!$H:$H,LEFT($P558,30)&amp;"*"),MAXIFS(Investment!$AH:$AH,Investment!$H:$H,LEFT($P558,30)&amp;"*"),),)</f>
        <v/>
      </c>
      <c r="P558" s="299"/>
      <c r="R558" s="52"/>
    </row>
    <row r="559">
      <c r="A559" s="122">
        <v>42374.0</v>
      </c>
      <c r="B559" s="55" t="s">
        <v>364</v>
      </c>
      <c r="C559" s="304" t="s">
        <v>1386</v>
      </c>
      <c r="D559" s="55" t="s">
        <v>272</v>
      </c>
      <c r="E559" s="55"/>
      <c r="F559" s="264"/>
      <c r="G559" s="128">
        <v>4.14</v>
      </c>
      <c r="H559" s="318" t="str">
        <f t="shared" si="555"/>
        <v>iShares 7-10 Year Treasury Bond ETF@DIVIDEND@@4.14</v>
      </c>
      <c r="I559" s="138" t="str">
        <f t="shared" ref="I559:J559" si="565">IFS(AND($B559&lt;&gt;"",$E559&lt;&gt;""),IF(INDEX(N:N,MATCH($C559,$P:$P,0),1)&lt;&gt;"",$E559*INDEX(N:N,MATCH($C559,$P:$P,0),1)+$G559,""),AND($B559&lt;&gt;"",$D559="COST",$G559&lt;0),$G559,TRUE,)</f>
        <v/>
      </c>
      <c r="J559" s="138" t="str">
        <f t="shared" si="565"/>
        <v/>
      </c>
      <c r="K559" s="266" t="str">
        <f t="shared" si="3"/>
        <v>iShares 7-10 Year Treasury Bond ETF</v>
      </c>
      <c r="L559" s="156">
        <f t="shared" si="4"/>
        <v>0</v>
      </c>
      <c r="M559" s="156">
        <f t="shared" si="5"/>
        <v>-345.82</v>
      </c>
      <c r="N559" s="155" t="str">
        <f>IF($P559&lt;&gt;"",IF(MAXIFS(Investment!$M:$M,Investment!$H:$H,LEFT($P559,30)&amp;"*"),MAXIFS(Investment!$M:$M,Investment!$H:$H,LEFT($P559,30)&amp;"*"),),)</f>
        <v/>
      </c>
      <c r="O559" s="158" t="str">
        <f>IF($P559&lt;&gt;"",IF(MAXIFS(Investment!$AH:$AH,Investment!$H:$H,LEFT($P559,30)&amp;"*"),MAXIFS(Investment!$AH:$AH,Investment!$H:$H,LEFT($P559,30)&amp;"*"),),)</f>
        <v/>
      </c>
      <c r="P559" s="299"/>
      <c r="R559" s="52"/>
    </row>
    <row r="560">
      <c r="A560" s="122">
        <v>42373.0</v>
      </c>
      <c r="B560" s="55" t="s">
        <v>268</v>
      </c>
      <c r="C560" s="304" t="s">
        <v>1196</v>
      </c>
      <c r="D560" s="55" t="s">
        <v>272</v>
      </c>
      <c r="E560" s="55"/>
      <c r="F560" s="264"/>
      <c r="G560" s="128">
        <v>61.86</v>
      </c>
      <c r="H560" s="318" t="str">
        <f t="shared" si="555"/>
        <v>Vanguard Extended Duration Treasury ETF@DIVIDEND@@61.86</v>
      </c>
      <c r="I560" s="138" t="str">
        <f t="shared" ref="I560:J560" si="566">IFS(AND($B560&lt;&gt;"",$E560&lt;&gt;""),IF(INDEX(N:N,MATCH($C560,$P:$P,0),1)&lt;&gt;"",$E560*INDEX(N:N,MATCH($C560,$P:$P,0),1)+$G560,""),AND($B560&lt;&gt;"",$D560="COST",$G560&lt;0),$G560,TRUE,)</f>
        <v/>
      </c>
      <c r="J560" s="138" t="str">
        <f t="shared" si="566"/>
        <v/>
      </c>
      <c r="K560" s="266" t="str">
        <f t="shared" si="3"/>
        <v>Vanguard Extended Duration Treasury ETF</v>
      </c>
      <c r="L560" s="156">
        <f t="shared" si="4"/>
        <v>0</v>
      </c>
      <c r="M560" s="156">
        <f t="shared" si="5"/>
        <v>-4941.36</v>
      </c>
      <c r="N560" s="155" t="str">
        <f>IF($P560&lt;&gt;"",IF(MAXIFS(Investment!$M:$M,Investment!$H:$H,LEFT($P560,30)&amp;"*"),MAXIFS(Investment!$M:$M,Investment!$H:$H,LEFT($P560,30)&amp;"*"),),)</f>
        <v/>
      </c>
      <c r="O560" s="158" t="str">
        <f>IF($P560&lt;&gt;"",IF(MAXIFS(Investment!$AH:$AH,Investment!$H:$H,LEFT($P560,30)&amp;"*"),MAXIFS(Investment!$AH:$AH,Investment!$H:$H,LEFT($P560,30)&amp;"*"),),)</f>
        <v/>
      </c>
      <c r="P560" s="299"/>
      <c r="R560" s="52"/>
    </row>
    <row r="561">
      <c r="A561" s="122">
        <v>42373.0</v>
      </c>
      <c r="B561" s="55" t="s">
        <v>268</v>
      </c>
      <c r="C561" s="304" t="s">
        <v>1196</v>
      </c>
      <c r="D561" s="55" t="s">
        <v>272</v>
      </c>
      <c r="E561" s="55"/>
      <c r="F561" s="264"/>
      <c r="G561" s="128">
        <v>1.85</v>
      </c>
      <c r="H561" s="318" t="str">
        <f t="shared" si="555"/>
        <v>Vanguard Extended Duration Treasury ETF@DIVIDEND@@1.85</v>
      </c>
      <c r="I561" s="138" t="str">
        <f t="shared" ref="I561:J561" si="567">IFS(AND($B561&lt;&gt;"",$E561&lt;&gt;""),IF(INDEX(N:N,MATCH($C561,$P:$P,0),1)&lt;&gt;"",$E561*INDEX(N:N,MATCH($C561,$P:$P,0),1)+$G561,""),AND($B561&lt;&gt;"",$D561="COST",$G561&lt;0),$G561,TRUE,)</f>
        <v/>
      </c>
      <c r="J561" s="138" t="str">
        <f t="shared" si="567"/>
        <v/>
      </c>
      <c r="K561" s="266" t="str">
        <f t="shared" si="3"/>
        <v>Vanguard Extended Duration Treasury ETF</v>
      </c>
      <c r="L561" s="156">
        <f t="shared" si="4"/>
        <v>0</v>
      </c>
      <c r="M561" s="156">
        <f t="shared" si="5"/>
        <v>-4941.36</v>
      </c>
      <c r="N561" s="155" t="str">
        <f>IF($P561&lt;&gt;"",IF(MAXIFS(Investment!$M:$M,Investment!$H:$H,LEFT($P561,30)&amp;"*"),MAXIFS(Investment!$M:$M,Investment!$H:$H,LEFT($P561,30)&amp;"*"),),)</f>
        <v/>
      </c>
      <c r="O561" s="158" t="str">
        <f>IF($P561&lt;&gt;"",IF(MAXIFS(Investment!$AH:$AH,Investment!$H:$H,LEFT($P561,30)&amp;"*"),MAXIFS(Investment!$AH:$AH,Investment!$H:$H,LEFT($P561,30)&amp;"*"),),)</f>
        <v/>
      </c>
      <c r="P561" s="299"/>
      <c r="R561" s="52"/>
    </row>
    <row r="562">
      <c r="A562" s="122">
        <v>42373.0</v>
      </c>
      <c r="B562" s="55" t="s">
        <v>268</v>
      </c>
      <c r="C562" s="304" t="s">
        <v>1196</v>
      </c>
      <c r="D562" s="55" t="s">
        <v>272</v>
      </c>
      <c r="E562" s="55"/>
      <c r="F562" s="264"/>
      <c r="G562" s="128">
        <v>87.38</v>
      </c>
      <c r="H562" s="318" t="str">
        <f t="shared" si="555"/>
        <v>Vanguard Extended Duration Treasury ETF@DIVIDEND@@87.38</v>
      </c>
      <c r="I562" s="138" t="str">
        <f t="shared" ref="I562:J562" si="568">IFS(AND($B562&lt;&gt;"",$E562&lt;&gt;""),IF(INDEX(N:N,MATCH($C562,$P:$P,0),1)&lt;&gt;"",$E562*INDEX(N:N,MATCH($C562,$P:$P,0),1)+$G562,""),AND($B562&lt;&gt;"",$D562="COST",$G562&lt;0),$G562,TRUE,)</f>
        <v/>
      </c>
      <c r="J562" s="138" t="str">
        <f t="shared" si="568"/>
        <v/>
      </c>
      <c r="K562" s="266" t="str">
        <f t="shared" si="3"/>
        <v>Vanguard Extended Duration Treasury ETF</v>
      </c>
      <c r="L562" s="156">
        <f t="shared" si="4"/>
        <v>0</v>
      </c>
      <c r="M562" s="156">
        <f t="shared" si="5"/>
        <v>-4941.36</v>
      </c>
      <c r="N562" s="155" t="str">
        <f>IF($P562&lt;&gt;"",IF(MAXIFS(Investment!$M:$M,Investment!$H:$H,LEFT($P562,30)&amp;"*"),MAXIFS(Investment!$M:$M,Investment!$H:$H,LEFT($P562,30)&amp;"*"),),)</f>
        <v/>
      </c>
      <c r="O562" s="158" t="str">
        <f>IF($P562&lt;&gt;"",IF(MAXIFS(Investment!$AH:$AH,Investment!$H:$H,LEFT($P562,30)&amp;"*"),MAXIFS(Investment!$AH:$AH,Investment!$H:$H,LEFT($P562,30)&amp;"*"),),)</f>
        <v/>
      </c>
      <c r="P562" s="299"/>
      <c r="R562" s="52"/>
    </row>
    <row r="563">
      <c r="A563" s="122">
        <v>42348.0</v>
      </c>
      <c r="B563" s="55" t="s">
        <v>268</v>
      </c>
      <c r="C563" s="304" t="s">
        <v>1196</v>
      </c>
      <c r="D563" s="55" t="s">
        <v>330</v>
      </c>
      <c r="E563" s="55">
        <v>1.0</v>
      </c>
      <c r="F563" s="264">
        <v>107.2959</v>
      </c>
      <c r="G563" s="128">
        <v>-115.8</v>
      </c>
      <c r="H563" s="318" t="str">
        <f t="shared" si="555"/>
        <v>Vanguard Extended Duration Treasury ETF@BUY@1@-115.8</v>
      </c>
      <c r="I563" s="138" t="str">
        <f t="shared" ref="I563:J563" si="569">IFS(AND($B563&lt;&gt;"",$E563&lt;&gt;""),IF(INDEX(N:N,MATCH($C563,$P:$P,0),1)&lt;&gt;"",$E563*INDEX(N:N,MATCH($C563,$P:$P,0),1)+$G563,""),AND($B563&lt;&gt;"",$D563="COST",$G563&lt;0),$G563,TRUE,)</f>
        <v/>
      </c>
      <c r="J563" s="138" t="str">
        <f t="shared" si="569"/>
        <v/>
      </c>
      <c r="K563" s="266" t="str">
        <f t="shared" si="3"/>
        <v>Vanguard Extended Duration Treasury ETF</v>
      </c>
      <c r="L563" s="156">
        <f t="shared" si="4"/>
        <v>0</v>
      </c>
      <c r="M563" s="156">
        <f t="shared" si="5"/>
        <v>-4941.36</v>
      </c>
      <c r="N563" s="155" t="str">
        <f>IF($P563&lt;&gt;"",IF(MAXIFS(Investment!$M:$M,Investment!$H:$H,LEFT($P563,30)&amp;"*"),MAXIFS(Investment!$M:$M,Investment!$H:$H,LEFT($P563,30)&amp;"*"),),)</f>
        <v/>
      </c>
      <c r="O563" s="158" t="str">
        <f>IF($P563&lt;&gt;"",IF(MAXIFS(Investment!$AH:$AH,Investment!$H:$H,LEFT($P563,30)&amp;"*"),MAXIFS(Investment!$AH:$AH,Investment!$H:$H,LEFT($P563,30)&amp;"*"),),)</f>
        <v/>
      </c>
      <c r="P563" s="299"/>
      <c r="R563" s="52"/>
    </row>
    <row r="564">
      <c r="A564" s="122">
        <v>42348.0</v>
      </c>
      <c r="B564" s="55" t="s">
        <v>343</v>
      </c>
      <c r="C564" s="304" t="s">
        <v>1400</v>
      </c>
      <c r="D564" s="55" t="s">
        <v>330</v>
      </c>
      <c r="E564" s="55">
        <v>7.0</v>
      </c>
      <c r="F564" s="264">
        <v>96.1932</v>
      </c>
      <c r="G564" s="128">
        <v>-681.85</v>
      </c>
      <c r="H564" s="318" t="str">
        <f t="shared" si="555"/>
        <v>Vanguard Total Stock Market ETF@BUY@7@-681.85</v>
      </c>
      <c r="I564" s="138" t="str">
        <f t="shared" ref="I564:J564" si="570">IFS(AND($B564&lt;&gt;"",$E564&lt;&gt;""),IF(INDEX(N:N,MATCH($C564,$P:$P,0),1)&lt;&gt;"",$E564*INDEX(N:N,MATCH($C564,$P:$P,0),1)+$G564,""),AND($B564&lt;&gt;"",$D564="COST",$G564&lt;0),$G564,TRUE,)</f>
        <v/>
      </c>
      <c r="J564" s="138" t="str">
        <f t="shared" si="570"/>
        <v/>
      </c>
      <c r="K564" s="266" t="str">
        <f t="shared" si="3"/>
        <v>Vanguard Total Stock Market ETF</v>
      </c>
      <c r="L564" s="156">
        <f t="shared" si="4"/>
        <v>0</v>
      </c>
      <c r="M564" s="156">
        <f t="shared" si="5"/>
        <v>1880.34</v>
      </c>
      <c r="N564" s="155" t="str">
        <f>IF($P564&lt;&gt;"",IF(MAXIFS(Investment!$M:$M,Investment!$H:$H,LEFT($P564,30)&amp;"*"),MAXIFS(Investment!$M:$M,Investment!$H:$H,LEFT($P564,30)&amp;"*"),),)</f>
        <v/>
      </c>
      <c r="O564" s="158" t="str">
        <f>IF($P564&lt;&gt;"",IF(MAXIFS(Investment!$AH:$AH,Investment!$H:$H,LEFT($P564,30)&amp;"*"),MAXIFS(Investment!$AH:$AH,Investment!$H:$H,LEFT($P564,30)&amp;"*"),),)</f>
        <v/>
      </c>
      <c r="P564" s="299"/>
      <c r="R564" s="52"/>
    </row>
    <row r="565">
      <c r="A565" s="122">
        <v>42348.0</v>
      </c>
      <c r="B565" s="55" t="s">
        <v>317</v>
      </c>
      <c r="C565" s="304" t="s">
        <v>1269</v>
      </c>
      <c r="D565" s="55" t="s">
        <v>330</v>
      </c>
      <c r="E565" s="55">
        <v>17.0</v>
      </c>
      <c r="F565" s="264">
        <v>9.4474</v>
      </c>
      <c r="G565" s="128">
        <v>-169.11</v>
      </c>
      <c r="H565" s="318" t="str">
        <f t="shared" si="555"/>
        <v>iShares Gold Trust@BUY@17@-169.11</v>
      </c>
      <c r="I565" s="138" t="str">
        <f t="shared" ref="I565:J565" si="571">IFS(AND($B565&lt;&gt;"",$E565&lt;&gt;""),IF(INDEX(N:N,MATCH($C565,$P:$P,0),1)&lt;&gt;"",$E565*INDEX(N:N,MATCH($C565,$P:$P,0),1)+$G565,""),AND($B565&lt;&gt;"",$D565="COST",$G565&lt;0),$G565,TRUE,)</f>
        <v/>
      </c>
      <c r="J565" s="138" t="str">
        <f t="shared" si="571"/>
        <v/>
      </c>
      <c r="K565" s="266" t="str">
        <f t="shared" si="3"/>
        <v>iShares Gold Trust</v>
      </c>
      <c r="L565" s="156">
        <f t="shared" si="4"/>
        <v>0</v>
      </c>
      <c r="M565" s="156">
        <f t="shared" si="5"/>
        <v>140.23</v>
      </c>
      <c r="N565" s="155" t="str">
        <f>IF($P565&lt;&gt;"",IF(MAXIFS(Investment!$M:$M,Investment!$H:$H,LEFT($P565,30)&amp;"*"),MAXIFS(Investment!$M:$M,Investment!$H:$H,LEFT($P565,30)&amp;"*"),),)</f>
        <v/>
      </c>
      <c r="O565" s="158" t="str">
        <f>IF($P565&lt;&gt;"",IF(MAXIFS(Investment!$AH:$AH,Investment!$H:$H,LEFT($P565,30)&amp;"*"),MAXIFS(Investment!$AH:$AH,Investment!$H:$H,LEFT($P565,30)&amp;"*"),),)</f>
        <v/>
      </c>
      <c r="P565" s="299"/>
      <c r="R565" s="52"/>
    </row>
    <row r="566">
      <c r="A566" s="122">
        <v>42348.0</v>
      </c>
      <c r="B566" s="55" t="s">
        <v>364</v>
      </c>
      <c r="C566" s="304" t="s">
        <v>1386</v>
      </c>
      <c r="D566" s="55" t="s">
        <v>330</v>
      </c>
      <c r="E566" s="55">
        <v>1.0</v>
      </c>
      <c r="F566" s="264">
        <v>97.2815</v>
      </c>
      <c r="G566" s="128">
        <v>-105.78</v>
      </c>
      <c r="H566" s="318" t="str">
        <f t="shared" si="555"/>
        <v>iShares 7-10 Year Treasury Bond ETF@BUY@1@-105.78</v>
      </c>
      <c r="I566" s="138" t="str">
        <f t="shared" ref="I566:J566" si="572">IFS(AND($B566&lt;&gt;"",$E566&lt;&gt;""),IF(INDEX(N:N,MATCH($C566,$P:$P,0),1)&lt;&gt;"",$E566*INDEX(N:N,MATCH($C566,$P:$P,0),1)+$G566,""),AND($B566&lt;&gt;"",$D566="COST",$G566&lt;0),$G566,TRUE,)</f>
        <v/>
      </c>
      <c r="J566" s="138" t="str">
        <f t="shared" si="572"/>
        <v/>
      </c>
      <c r="K566" s="266" t="str">
        <f t="shared" si="3"/>
        <v>iShares 7-10 Year Treasury Bond ETF</v>
      </c>
      <c r="L566" s="156">
        <f t="shared" si="4"/>
        <v>0</v>
      </c>
      <c r="M566" s="156">
        <f t="shared" si="5"/>
        <v>-345.82</v>
      </c>
      <c r="N566" s="155" t="str">
        <f>IF($P566&lt;&gt;"",IF(MAXIFS(Investment!$M:$M,Investment!$H:$H,LEFT($P566,30)&amp;"*"),MAXIFS(Investment!$M:$M,Investment!$H:$H,LEFT($P566,30)&amp;"*"),),)</f>
        <v/>
      </c>
      <c r="O566" s="158" t="str">
        <f>IF($P566&lt;&gt;"",IF(MAXIFS(Investment!$AH:$AH,Investment!$H:$H,LEFT($P566,30)&amp;"*"),MAXIFS(Investment!$AH:$AH,Investment!$H:$H,LEFT($P566,30)&amp;"*"),),)</f>
        <v/>
      </c>
      <c r="P566" s="299"/>
      <c r="R566" s="52"/>
    </row>
    <row r="567">
      <c r="A567" s="122">
        <v>42348.0</v>
      </c>
      <c r="B567" s="55" t="s">
        <v>328</v>
      </c>
      <c r="C567" s="304" t="s">
        <v>1396</v>
      </c>
      <c r="D567" s="55" t="s">
        <v>330</v>
      </c>
      <c r="E567" s="55">
        <v>30.0</v>
      </c>
      <c r="F567" s="264">
        <v>13.1056</v>
      </c>
      <c r="G567" s="128">
        <v>-401.67</v>
      </c>
      <c r="H567" s="318" t="str">
        <f t="shared" si="555"/>
        <v>iShares Diversified Commodity Swap UCITS ETF DE@BUY@30@-401.67</v>
      </c>
      <c r="I567" s="138" t="str">
        <f t="shared" ref="I567:J567" si="573">IFS(AND($B567&lt;&gt;"",$E567&lt;&gt;""),IF(INDEX(N:N,MATCH($C567,$P:$P,0),1)&lt;&gt;"",$E567*INDEX(N:N,MATCH($C567,$P:$P,0),1)+$G567,""),AND($B567&lt;&gt;"",$D567="COST",$G567&lt;0),$G567,TRUE,)</f>
        <v/>
      </c>
      <c r="J567" s="138" t="str">
        <f t="shared" si="573"/>
        <v/>
      </c>
      <c r="K567" s="266" t="str">
        <f t="shared" si="3"/>
        <v>iShares Diversified Commodity Swap UCITS ETF DE</v>
      </c>
      <c r="L567" s="156">
        <f t="shared" si="4"/>
        <v>0</v>
      </c>
      <c r="M567" s="156">
        <f t="shared" si="5"/>
        <v>-296.42</v>
      </c>
      <c r="N567" s="155" t="str">
        <f>IF($P567&lt;&gt;"",IF(MAXIFS(Investment!$M:$M,Investment!$H:$H,LEFT($P567,30)&amp;"*"),MAXIFS(Investment!$M:$M,Investment!$H:$H,LEFT($P567,30)&amp;"*"),),)</f>
        <v/>
      </c>
      <c r="O567" s="158" t="str">
        <f>IF($P567&lt;&gt;"",IF(MAXIFS(Investment!$AH:$AH,Investment!$H:$H,LEFT($P567,30)&amp;"*"),MAXIFS(Investment!$AH:$AH,Investment!$H:$H,LEFT($P567,30)&amp;"*"),),)</f>
        <v/>
      </c>
      <c r="P567" s="299"/>
      <c r="R567" s="52"/>
    </row>
    <row r="568">
      <c r="A568" s="122">
        <v>42347.0</v>
      </c>
      <c r="B568" s="55" t="s">
        <v>364</v>
      </c>
      <c r="C568" s="304" t="s">
        <v>1386</v>
      </c>
      <c r="D568" s="55" t="s">
        <v>272</v>
      </c>
      <c r="E568" s="55"/>
      <c r="F568" s="264"/>
      <c r="G568" s="128">
        <v>4.1</v>
      </c>
      <c r="H568" s="318" t="str">
        <f t="shared" si="555"/>
        <v>iShares 7-10 Year Treasury Bond ETF@DIVIDEND@@4.1</v>
      </c>
      <c r="I568" s="138" t="str">
        <f t="shared" ref="I568:J568" si="574">IFS(AND($B568&lt;&gt;"",$E568&lt;&gt;""),IF(INDEX(N:N,MATCH($C568,$P:$P,0),1)&lt;&gt;"",$E568*INDEX(N:N,MATCH($C568,$P:$P,0),1)+$G568,""),AND($B568&lt;&gt;"",$D568="COST",$G568&lt;0),$G568,TRUE,)</f>
        <v/>
      </c>
      <c r="J568" s="138" t="str">
        <f t="shared" si="574"/>
        <v/>
      </c>
      <c r="K568" s="266" t="str">
        <f t="shared" si="3"/>
        <v>iShares 7-10 Year Treasury Bond ETF</v>
      </c>
      <c r="L568" s="156">
        <f t="shared" si="4"/>
        <v>0</v>
      </c>
      <c r="M568" s="156">
        <f t="shared" si="5"/>
        <v>-345.82</v>
      </c>
      <c r="N568" s="155" t="str">
        <f>IF($P568&lt;&gt;"",IF(MAXIFS(Investment!$M:$M,Investment!$H:$H,LEFT($P568,30)&amp;"*"),MAXIFS(Investment!$M:$M,Investment!$H:$H,LEFT($P568,30)&amp;"*"),),)</f>
        <v/>
      </c>
      <c r="O568" s="158" t="str">
        <f>IF($P568&lt;&gt;"",IF(MAXIFS(Investment!$AH:$AH,Investment!$H:$H,LEFT($P568,30)&amp;"*"),MAXIFS(Investment!$AH:$AH,Investment!$H:$H,LEFT($P568,30)&amp;"*"),),)</f>
        <v/>
      </c>
      <c r="P568" s="299"/>
      <c r="R568" s="52"/>
    </row>
    <row r="569">
      <c r="A569" s="122">
        <v>42318.0</v>
      </c>
      <c r="B569" s="55" t="s">
        <v>364</v>
      </c>
      <c r="C569" s="304" t="s">
        <v>1386</v>
      </c>
      <c r="D569" s="55" t="s">
        <v>272</v>
      </c>
      <c r="E569" s="55"/>
      <c r="F569" s="264"/>
      <c r="G569" s="128">
        <v>4.09</v>
      </c>
      <c r="H569" s="318" t="str">
        <f t="shared" si="555"/>
        <v>iShares 7-10 Year Treasury Bond ETF@DIVIDEND@@4.09</v>
      </c>
      <c r="I569" s="138" t="str">
        <f t="shared" ref="I569:J569" si="575">IFS(AND($B569&lt;&gt;"",$E569&lt;&gt;""),IF(INDEX(N:N,MATCH($C569,$P:$P,0),1)&lt;&gt;"",$E569*INDEX(N:N,MATCH($C569,$P:$P,0),1)+$G569,""),AND($B569&lt;&gt;"",$D569="COST",$G569&lt;0),$G569,TRUE,)</f>
        <v/>
      </c>
      <c r="J569" s="138" t="str">
        <f t="shared" si="575"/>
        <v/>
      </c>
      <c r="K569" s="266" t="str">
        <f t="shared" si="3"/>
        <v>iShares 7-10 Year Treasury Bond ETF</v>
      </c>
      <c r="L569" s="156">
        <f t="shared" si="4"/>
        <v>0</v>
      </c>
      <c r="M569" s="156">
        <f t="shared" si="5"/>
        <v>-345.82</v>
      </c>
      <c r="N569" s="155" t="str">
        <f>IF($P569&lt;&gt;"",IF(MAXIFS(Investment!$M:$M,Investment!$H:$H,LEFT($P569,30)&amp;"*"),MAXIFS(Investment!$M:$M,Investment!$H:$H,LEFT($P569,30)&amp;"*"),),)</f>
        <v/>
      </c>
      <c r="O569" s="158" t="str">
        <f>IF($P569&lt;&gt;"",IF(MAXIFS(Investment!$AH:$AH,Investment!$H:$H,LEFT($P569,30)&amp;"*"),MAXIFS(Investment!$AH:$AH,Investment!$H:$H,LEFT($P569,30)&amp;"*"),),)</f>
        <v/>
      </c>
      <c r="P569" s="299"/>
      <c r="R569" s="52"/>
    </row>
    <row r="570">
      <c r="A570" s="122">
        <v>42314.0</v>
      </c>
      <c r="B570" s="55" t="s">
        <v>343</v>
      </c>
      <c r="C570" s="304" t="s">
        <v>1400</v>
      </c>
      <c r="D570" s="55" t="s">
        <v>330</v>
      </c>
      <c r="E570" s="55">
        <v>8.0</v>
      </c>
      <c r="F570" s="264">
        <v>98.96531</v>
      </c>
      <c r="G570" s="128">
        <v>-800.22</v>
      </c>
      <c r="H570" s="318" t="str">
        <f t="shared" si="555"/>
        <v>Vanguard Total Stock Market ETF@BUY@8@-800.22</v>
      </c>
      <c r="I570" s="138" t="str">
        <f t="shared" ref="I570:J570" si="576">IFS(AND($B570&lt;&gt;"",$E570&lt;&gt;""),IF(INDEX(N:N,MATCH($C570,$P:$P,0),1)&lt;&gt;"",$E570*INDEX(N:N,MATCH($C570,$P:$P,0),1)+$G570,""),AND($B570&lt;&gt;"",$D570="COST",$G570&lt;0),$G570,TRUE,)</f>
        <v/>
      </c>
      <c r="J570" s="138" t="str">
        <f t="shared" si="576"/>
        <v/>
      </c>
      <c r="K570" s="266" t="str">
        <f t="shared" si="3"/>
        <v>Vanguard Total Stock Market ETF</v>
      </c>
      <c r="L570" s="156">
        <f t="shared" si="4"/>
        <v>0</v>
      </c>
      <c r="M570" s="156">
        <f t="shared" si="5"/>
        <v>1880.34</v>
      </c>
      <c r="N570" s="155" t="str">
        <f>IF($P570&lt;&gt;"",IF(MAXIFS(Investment!$M:$M,Investment!$H:$H,LEFT($P570,30)&amp;"*"),MAXIFS(Investment!$M:$M,Investment!$H:$H,LEFT($P570,30)&amp;"*"),),)</f>
        <v/>
      </c>
      <c r="O570" s="158" t="str">
        <f>IF($P570&lt;&gt;"",IF(MAXIFS(Investment!$AH:$AH,Investment!$H:$H,LEFT($P570,30)&amp;"*"),MAXIFS(Investment!$AH:$AH,Investment!$H:$H,LEFT($P570,30)&amp;"*"),),)</f>
        <v/>
      </c>
      <c r="P570" s="299"/>
      <c r="R570" s="52"/>
    </row>
    <row r="571">
      <c r="A571" s="122">
        <v>42314.0</v>
      </c>
      <c r="B571" s="55" t="s">
        <v>268</v>
      </c>
      <c r="C571" s="304" t="s">
        <v>1196</v>
      </c>
      <c r="D571" s="55" t="s">
        <v>330</v>
      </c>
      <c r="E571" s="55">
        <v>9.0</v>
      </c>
      <c r="F571" s="264">
        <v>104.23462</v>
      </c>
      <c r="G571" s="128">
        <v>-946.61</v>
      </c>
      <c r="H571" s="318" t="str">
        <f t="shared" si="555"/>
        <v>Vanguard Extended Duration Treasury ETF@BUY@9@-946.61</v>
      </c>
      <c r="I571" s="138" t="str">
        <f t="shared" ref="I571:J571" si="577">IFS(AND($B571&lt;&gt;"",$E571&lt;&gt;""),IF(INDEX(N:N,MATCH($C571,$P:$P,0),1)&lt;&gt;"",$E571*INDEX(N:N,MATCH($C571,$P:$P,0),1)+$G571,""),AND($B571&lt;&gt;"",$D571="COST",$G571&lt;0),$G571,TRUE,)</f>
        <v/>
      </c>
      <c r="J571" s="138" t="str">
        <f t="shared" si="577"/>
        <v/>
      </c>
      <c r="K571" s="266" t="str">
        <f t="shared" si="3"/>
        <v>Vanguard Extended Duration Treasury ETF</v>
      </c>
      <c r="L571" s="156">
        <f t="shared" si="4"/>
        <v>0</v>
      </c>
      <c r="M571" s="156">
        <f t="shared" si="5"/>
        <v>-4941.36</v>
      </c>
      <c r="N571" s="155" t="str">
        <f>IF($P571&lt;&gt;"",IF(MAXIFS(Investment!$M:$M,Investment!$H:$H,LEFT($P571,30)&amp;"*"),MAXIFS(Investment!$M:$M,Investment!$H:$H,LEFT($P571,30)&amp;"*"),),)</f>
        <v/>
      </c>
      <c r="O571" s="158" t="str">
        <f>IF($P571&lt;&gt;"",IF(MAXIFS(Investment!$AH:$AH,Investment!$H:$H,LEFT($P571,30)&amp;"*"),MAXIFS(Investment!$AH:$AH,Investment!$H:$H,LEFT($P571,30)&amp;"*"),),)</f>
        <v/>
      </c>
      <c r="P571" s="299"/>
      <c r="R571" s="52"/>
    </row>
    <row r="572">
      <c r="A572" s="122">
        <v>42314.0</v>
      </c>
      <c r="B572" s="55" t="s">
        <v>328</v>
      </c>
      <c r="C572" s="304" t="s">
        <v>1396</v>
      </c>
      <c r="D572" s="55" t="s">
        <v>330</v>
      </c>
      <c r="E572" s="55">
        <v>2.0</v>
      </c>
      <c r="F572" s="264">
        <v>14.30627</v>
      </c>
      <c r="G572" s="128">
        <v>-37.11</v>
      </c>
      <c r="H572" s="318" t="str">
        <f t="shared" si="555"/>
        <v>iShares Diversified Commodity Swap UCITS ETF DE@BUY@2@-37.11</v>
      </c>
      <c r="I572" s="138" t="str">
        <f t="shared" ref="I572:J572" si="578">IFS(AND($B572&lt;&gt;"",$E572&lt;&gt;""),IF(INDEX(N:N,MATCH($C572,$P:$P,0),1)&lt;&gt;"",$E572*INDEX(N:N,MATCH($C572,$P:$P,0),1)+$G572,""),AND($B572&lt;&gt;"",$D572="COST",$G572&lt;0),$G572,TRUE,)</f>
        <v/>
      </c>
      <c r="J572" s="138" t="str">
        <f t="shared" si="578"/>
        <v/>
      </c>
      <c r="K572" s="266" t="str">
        <f t="shared" si="3"/>
        <v>iShares Diversified Commodity Swap UCITS ETF DE</v>
      </c>
      <c r="L572" s="156">
        <f t="shared" si="4"/>
        <v>0</v>
      </c>
      <c r="M572" s="156">
        <f t="shared" si="5"/>
        <v>-296.42</v>
      </c>
      <c r="N572" s="155" t="str">
        <f>IF($P572&lt;&gt;"",IF(MAXIFS(Investment!$M:$M,Investment!$H:$H,LEFT($P572,30)&amp;"*"),MAXIFS(Investment!$M:$M,Investment!$H:$H,LEFT($P572,30)&amp;"*"),),)</f>
        <v/>
      </c>
      <c r="O572" s="158" t="str">
        <f>IF($P572&lt;&gt;"",IF(MAXIFS(Investment!$AH:$AH,Investment!$H:$H,LEFT($P572,30)&amp;"*"),MAXIFS(Investment!$AH:$AH,Investment!$H:$H,LEFT($P572,30)&amp;"*"),),)</f>
        <v/>
      </c>
      <c r="P572" s="299"/>
      <c r="R572" s="52"/>
    </row>
    <row r="573">
      <c r="A573" s="122">
        <v>42314.0</v>
      </c>
      <c r="B573" s="55" t="s">
        <v>317</v>
      </c>
      <c r="C573" s="304" t="s">
        <v>1269</v>
      </c>
      <c r="D573" s="55" t="s">
        <v>330</v>
      </c>
      <c r="E573" s="55">
        <v>20.0</v>
      </c>
      <c r="F573" s="264">
        <v>9.70023</v>
      </c>
      <c r="G573" s="128">
        <v>-202.5</v>
      </c>
      <c r="H573" s="318" t="str">
        <f t="shared" si="555"/>
        <v>iShares Gold Trust@BUY@20@-202.5</v>
      </c>
      <c r="I573" s="138" t="str">
        <f t="shared" ref="I573:J573" si="579">IFS(AND($B573&lt;&gt;"",$E573&lt;&gt;""),IF(INDEX(N:N,MATCH($C573,$P:$P,0),1)&lt;&gt;"",$E573*INDEX(N:N,MATCH($C573,$P:$P,0),1)+$G573,""),AND($B573&lt;&gt;"",$D573="COST",$G573&lt;0),$G573,TRUE,)</f>
        <v/>
      </c>
      <c r="J573" s="138" t="str">
        <f t="shared" si="579"/>
        <v/>
      </c>
      <c r="K573" s="266" t="str">
        <f t="shared" si="3"/>
        <v>iShares Gold Trust</v>
      </c>
      <c r="L573" s="156">
        <f t="shared" si="4"/>
        <v>0</v>
      </c>
      <c r="M573" s="156">
        <f t="shared" si="5"/>
        <v>140.23</v>
      </c>
      <c r="N573" s="155" t="str">
        <f>IF($P573&lt;&gt;"",IF(MAXIFS(Investment!$M:$M,Investment!$H:$H,LEFT($P573,30)&amp;"*"),MAXIFS(Investment!$M:$M,Investment!$H:$H,LEFT($P573,30)&amp;"*"),),)</f>
        <v/>
      </c>
      <c r="O573" s="158" t="str">
        <f>IF($P573&lt;&gt;"",IF(MAXIFS(Investment!$AH:$AH,Investment!$H:$H,LEFT($P573,30)&amp;"*"),MAXIFS(Investment!$AH:$AH,Investment!$H:$H,LEFT($P573,30)&amp;"*"),),)</f>
        <v/>
      </c>
      <c r="P573" s="299"/>
      <c r="R573" s="52"/>
    </row>
    <row r="574">
      <c r="A574" s="312">
        <v>42303.0</v>
      </c>
      <c r="B574" s="315" t="s">
        <v>317</v>
      </c>
      <c r="C574" s="327" t="s">
        <v>1269</v>
      </c>
      <c r="D574" s="328" t="s">
        <v>330</v>
      </c>
      <c r="E574" s="315">
        <v>255.0</v>
      </c>
      <c r="F574" s="316">
        <v>10.2342</v>
      </c>
      <c r="G574" s="317">
        <v>-2618.23</v>
      </c>
      <c r="H574" s="318" t="str">
        <f t="shared" si="555"/>
        <v>iShares Gold Trust@BUY@255@-2618.23</v>
      </c>
      <c r="I574" s="138" t="str">
        <f t="shared" ref="I574:J574" si="580">IFS(AND($B574&lt;&gt;"",$E574&lt;&gt;""),IF(INDEX(N:N,MATCH($C574,$P:$P,0),1)&lt;&gt;"",$E574*INDEX(N:N,MATCH($C574,$P:$P,0),1)+$G574,""),AND($B574&lt;&gt;"",$D574="COST",$G574&lt;0),$G574,TRUE,)</f>
        <v/>
      </c>
      <c r="J574" s="138" t="str">
        <f t="shared" si="580"/>
        <v/>
      </c>
      <c r="K574" s="266" t="str">
        <f t="shared" si="3"/>
        <v>iShares Gold Trust</v>
      </c>
      <c r="L574" s="156">
        <f t="shared" si="4"/>
        <v>0</v>
      </c>
      <c r="M574" s="156">
        <f t="shared" si="5"/>
        <v>140.23</v>
      </c>
      <c r="N574" s="155" t="str">
        <f>IF($P574&lt;&gt;"",IF(MAXIFS(Investment!$M:$M,Investment!$H:$H,LEFT($P574,30)&amp;"*"),MAXIFS(Investment!$M:$M,Investment!$H:$H,LEFT($P574,30)&amp;"*"),),)</f>
        <v/>
      </c>
      <c r="O574" s="158" t="str">
        <f>IF($P574&lt;&gt;"",IF(MAXIFS(Investment!$AH:$AH,Investment!$H:$H,LEFT($P574,30)&amp;"*"),MAXIFS(Investment!$AH:$AH,Investment!$H:$H,LEFT($P574,30)&amp;"*"),),)</f>
        <v/>
      </c>
      <c r="P574" s="299"/>
      <c r="R574" s="52"/>
    </row>
    <row r="575">
      <c r="A575" s="312">
        <v>42303.0</v>
      </c>
      <c r="B575" s="315" t="s">
        <v>364</v>
      </c>
      <c r="C575" s="327" t="s">
        <v>1386</v>
      </c>
      <c r="D575" s="328" t="s">
        <v>330</v>
      </c>
      <c r="E575" s="315">
        <v>55.0</v>
      </c>
      <c r="F575" s="316">
        <v>97.8714</v>
      </c>
      <c r="G575" s="317">
        <v>-5391.43</v>
      </c>
      <c r="H575" s="318" t="str">
        <f t="shared" si="555"/>
        <v>iShares 7-10 Year Treasury Bond ETF@BUY@55@-5391.43</v>
      </c>
      <c r="I575" s="138" t="str">
        <f t="shared" ref="I575:J575" si="581">IFS(AND($B575&lt;&gt;"",$E575&lt;&gt;""),IF(INDEX(N:N,MATCH($C575,$P:$P,0),1)&lt;&gt;"",$E575*INDEX(N:N,MATCH($C575,$P:$P,0),1)+$G575,""),AND($B575&lt;&gt;"",$D575="COST",$G575&lt;0),$G575,TRUE,)</f>
        <v/>
      </c>
      <c r="J575" s="138" t="str">
        <f t="shared" si="581"/>
        <v/>
      </c>
      <c r="K575" s="266" t="str">
        <f t="shared" si="3"/>
        <v>iShares 7-10 Year Treasury Bond ETF</v>
      </c>
      <c r="L575" s="156">
        <f t="shared" si="4"/>
        <v>0</v>
      </c>
      <c r="M575" s="156">
        <f t="shared" si="5"/>
        <v>-345.82</v>
      </c>
      <c r="N575" s="155" t="str">
        <f>IF($P575&lt;&gt;"",IF(MAXIFS(Investment!$M:$M,Investment!$H:$H,LEFT($P575,30)&amp;"*"),MAXIFS(Investment!$M:$M,Investment!$H:$H,LEFT($P575,30)&amp;"*"),),)</f>
        <v/>
      </c>
      <c r="O575" s="158" t="str">
        <f>IF($P575&lt;&gt;"",IF(MAXIFS(Investment!$AH:$AH,Investment!$H:$H,LEFT($P575,30)&amp;"*"),MAXIFS(Investment!$AH:$AH,Investment!$H:$H,LEFT($P575,30)&amp;"*"),),)</f>
        <v/>
      </c>
      <c r="P575" s="299"/>
      <c r="R575" s="52"/>
    </row>
    <row r="576">
      <c r="A576" s="312">
        <v>42303.0</v>
      </c>
      <c r="B576" s="315" t="s">
        <v>328</v>
      </c>
      <c r="C576" s="327" t="s">
        <v>1396</v>
      </c>
      <c r="D576" s="328" t="s">
        <v>330</v>
      </c>
      <c r="E576" s="315">
        <v>179.0</v>
      </c>
      <c r="F576" s="316">
        <v>14.3383</v>
      </c>
      <c r="G576" s="317">
        <v>-2575.06</v>
      </c>
      <c r="H576" s="318" t="str">
        <f t="shared" si="555"/>
        <v>iShares Diversified Commodity Swap UCITS ETF DE@BUY@179@-2575.06</v>
      </c>
      <c r="I576" s="138" t="str">
        <f t="shared" ref="I576:J576" si="582">IFS(AND($B576&lt;&gt;"",$E576&lt;&gt;""),IF(INDEX(N:N,MATCH($C576,$P:$P,0),1)&lt;&gt;"",$E576*INDEX(N:N,MATCH($C576,$P:$P,0),1)+$G576,""),AND($B576&lt;&gt;"",$D576="COST",$G576&lt;0),$G576,TRUE,)</f>
        <v/>
      </c>
      <c r="J576" s="138" t="str">
        <f t="shared" si="582"/>
        <v/>
      </c>
      <c r="K576" s="266" t="str">
        <f t="shared" si="3"/>
        <v>iShares Diversified Commodity Swap UCITS ETF DE</v>
      </c>
      <c r="L576" s="156">
        <f t="shared" si="4"/>
        <v>0</v>
      </c>
      <c r="M576" s="156">
        <f t="shared" si="5"/>
        <v>-296.42</v>
      </c>
      <c r="N576" s="155" t="str">
        <f>IF($P576&lt;&gt;"",IF(MAXIFS(Investment!$M:$M,Investment!$H:$H,LEFT($P576,30)&amp;"*"),MAXIFS(Investment!$M:$M,Investment!$H:$H,LEFT($P576,30)&amp;"*"),),)</f>
        <v/>
      </c>
      <c r="O576" s="158" t="str">
        <f>IF($P576&lt;&gt;"",IF(MAXIFS(Investment!$AH:$AH,Investment!$H:$H,LEFT($P576,30)&amp;"*"),MAXIFS(Investment!$AH:$AH,Investment!$H:$H,LEFT($P576,30)&amp;"*"),),)</f>
        <v/>
      </c>
      <c r="P576" s="299"/>
      <c r="R576" s="52"/>
    </row>
    <row r="577">
      <c r="A577" s="312">
        <v>42303.0</v>
      </c>
      <c r="B577" s="315" t="s">
        <v>268</v>
      </c>
      <c r="C577" s="327" t="s">
        <v>1196</v>
      </c>
      <c r="D577" s="328" t="s">
        <v>330</v>
      </c>
      <c r="E577" s="315">
        <v>127.0</v>
      </c>
      <c r="F577" s="316">
        <v>108.0799</v>
      </c>
      <c r="G577" s="317">
        <v>-13738.49</v>
      </c>
      <c r="H577" s="318" t="str">
        <f t="shared" si="555"/>
        <v>Vanguard Extended Duration Treasury ETF@BUY@127@-13738.49</v>
      </c>
      <c r="I577" s="138" t="str">
        <f t="shared" ref="I577:J577" si="583">IFS(AND($B577&lt;&gt;"",$E577&lt;&gt;""),IF(INDEX(N:N,MATCH($C577,$P:$P,0),1)&lt;&gt;"",$E577*INDEX(N:N,MATCH($C577,$P:$P,0),1)+$G577,""),AND($B577&lt;&gt;"",$D577="COST",$G577&lt;0),$G577,TRUE,)</f>
        <v/>
      </c>
      <c r="J577" s="138" t="str">
        <f t="shared" si="583"/>
        <v/>
      </c>
      <c r="K577" s="266" t="str">
        <f t="shared" si="3"/>
        <v>Vanguard Extended Duration Treasury ETF</v>
      </c>
      <c r="L577" s="156">
        <f t="shared" si="4"/>
        <v>0</v>
      </c>
      <c r="M577" s="156">
        <f t="shared" si="5"/>
        <v>-4941.36</v>
      </c>
      <c r="N577" s="155" t="str">
        <f>IF($P577&lt;&gt;"",IF(MAXIFS(Investment!$M:$M,Investment!$H:$H,LEFT($P577,30)&amp;"*"),MAXIFS(Investment!$M:$M,Investment!$H:$H,LEFT($P577,30)&amp;"*"),),)</f>
        <v/>
      </c>
      <c r="O577" s="158" t="str">
        <f>IF($P577&lt;&gt;"",IF(MAXIFS(Investment!$AH:$AH,Investment!$H:$H,LEFT($P577,30)&amp;"*"),MAXIFS(Investment!$AH:$AH,Investment!$H:$H,LEFT($P577,30)&amp;"*"),),)</f>
        <v/>
      </c>
      <c r="P577" s="299"/>
      <c r="R577" s="52"/>
    </row>
    <row r="578">
      <c r="A578" s="312">
        <v>42303.0</v>
      </c>
      <c r="B578" s="315" t="s">
        <v>343</v>
      </c>
      <c r="C578" s="327" t="s">
        <v>1400</v>
      </c>
      <c r="D578" s="328" t="s">
        <v>330</v>
      </c>
      <c r="E578" s="315">
        <v>100.0</v>
      </c>
      <c r="F578" s="316">
        <v>95.7279</v>
      </c>
      <c r="G578" s="317">
        <v>-9581.29</v>
      </c>
      <c r="H578" s="318" t="str">
        <f t="shared" si="555"/>
        <v>Vanguard Total Stock Market ETF@BUY@100@-9581.29</v>
      </c>
      <c r="I578" s="138" t="str">
        <f t="shared" ref="I578:J578" si="584">IFS(AND($B578&lt;&gt;"",$E578&lt;&gt;""),IF(INDEX(N:N,MATCH($C578,$P:$P,0),1)&lt;&gt;"",$E578*INDEX(N:N,MATCH($C578,$P:$P,0),1)+$G578,""),AND($B578&lt;&gt;"",$D578="COST",$G578&lt;0),$G578,TRUE,)</f>
        <v/>
      </c>
      <c r="J578" s="138" t="str">
        <f t="shared" si="584"/>
        <v/>
      </c>
      <c r="K578" s="266" t="str">
        <f t="shared" si="3"/>
        <v>Vanguard Total Stock Market ETF</v>
      </c>
      <c r="L578" s="156">
        <f t="shared" si="4"/>
        <v>0</v>
      </c>
      <c r="M578" s="156">
        <f t="shared" si="5"/>
        <v>1880.34</v>
      </c>
      <c r="N578" s="155" t="str">
        <f>IF($P578&lt;&gt;"",IF(MAXIFS(Investment!$M:$M,Investment!$H:$H,LEFT($P578,30)&amp;"*"),MAXIFS(Investment!$M:$M,Investment!$H:$H,LEFT($P578,30)&amp;"*"),),)</f>
        <v/>
      </c>
      <c r="O578" s="158" t="str">
        <f>IF($P578&lt;&gt;"",IF(MAXIFS(Investment!$AH:$AH,Investment!$H:$H,LEFT($P578,30)&amp;"*"),MAXIFS(Investment!$AH:$AH,Investment!$H:$H,LEFT($P578,30)&amp;"*"),),)</f>
        <v/>
      </c>
      <c r="P578" s="299"/>
      <c r="R578" s="52"/>
    </row>
    <row r="579">
      <c r="A579" s="122">
        <v>42302.0</v>
      </c>
      <c r="B579" s="55"/>
      <c r="C579" s="304" t="s">
        <v>1429</v>
      </c>
      <c r="D579" s="55" t="s">
        <v>319</v>
      </c>
      <c r="E579" s="55">
        <v>-117.0</v>
      </c>
      <c r="F579" s="264">
        <v>184.14</v>
      </c>
      <c r="G579" s="128">
        <v>21524.99</v>
      </c>
      <c r="H579" s="318" t="str">
        <f t="shared" si="555"/>
        <v>TOTAL GABON@SELL@-117@21524.99</v>
      </c>
      <c r="I579" s="138" t="str">
        <f t="shared" ref="I579:J579" si="585">IFS(AND($B579&lt;&gt;"",$E579&lt;&gt;""),IF(INDEX(N:N,MATCH($C579,$P:$P,0),1)&lt;&gt;"",$E579*INDEX(N:N,MATCH($C579,$P:$P,0),1)+$G579,""),AND($B579&lt;&gt;"",$D579="COST",$G579&lt;0),$G579,TRUE,)</f>
        <v/>
      </c>
      <c r="J579" s="138" t="str">
        <f t="shared" si="585"/>
        <v/>
      </c>
      <c r="K579" s="266" t="str">
        <f t="shared" si="3"/>
        <v>TOTAL GABON</v>
      </c>
      <c r="L579" s="156">
        <f t="shared" si="4"/>
        <v>0</v>
      </c>
      <c r="M579" s="156">
        <f t="shared" si="5"/>
        <v>-24138.28</v>
      </c>
      <c r="N579" s="155" t="str">
        <f>IF($P579&lt;&gt;"",IF(MAXIFS(Investment!$M:$M,Investment!$H:$H,LEFT($P579,30)&amp;"*"),MAXIFS(Investment!$M:$M,Investment!$H:$H,LEFT($P579,30)&amp;"*"),),)</f>
        <v/>
      </c>
      <c r="O579" s="158" t="str">
        <f>IF($P579&lt;&gt;"",IF(MAXIFS(Investment!$AH:$AH,Investment!$H:$H,LEFT($P579,30)&amp;"*"),MAXIFS(Investment!$AH:$AH,Investment!$H:$H,LEFT($P579,30)&amp;"*"),),)</f>
        <v/>
      </c>
      <c r="P579" s="299"/>
      <c r="R579" s="52"/>
    </row>
    <row r="580">
      <c r="A580" s="122">
        <v>42297.0</v>
      </c>
      <c r="B580" s="170"/>
      <c r="C580" s="311"/>
      <c r="D580" s="55" t="s">
        <v>312</v>
      </c>
      <c r="E580" s="170"/>
      <c r="F580" s="264"/>
      <c r="G580" s="128">
        <v>12000.0</v>
      </c>
      <c r="H580" s="318" t="str">
        <f t="shared" si="555"/>
        <v>@APPROVISIONNEMENT@@12000</v>
      </c>
      <c r="I580" s="138" t="str">
        <f t="shared" ref="I580:J580" si="586">IFS(AND($B580&lt;&gt;"",$E580&lt;&gt;""),IF(INDEX(N:N,MATCH($C580,$P:$P,0),1)&lt;&gt;"",$E580*INDEX(N:N,MATCH($C580,$P:$P,0),1)+$G580,""),AND($B580&lt;&gt;"",$D580="COST",$G580&lt;0),$G580,TRUE,)</f>
        <v/>
      </c>
      <c r="J580" s="138" t="str">
        <f t="shared" si="586"/>
        <v/>
      </c>
      <c r="K580" s="266" t="str">
        <f t="shared" si="3"/>
        <v/>
      </c>
      <c r="L580" s="156" t="str">
        <f t="shared" si="4"/>
        <v/>
      </c>
      <c r="M580" s="156" t="str">
        <f t="shared" si="5"/>
        <v/>
      </c>
      <c r="N580" s="155" t="str">
        <f>IF($P580&lt;&gt;"",IF(MAXIFS(Investment!$M:$M,Investment!$H:$H,LEFT($P580,30)&amp;"*"),MAXIFS(Investment!$M:$M,Investment!$H:$H,LEFT($P580,30)&amp;"*"),),)</f>
        <v/>
      </c>
      <c r="O580" s="158" t="str">
        <f>IF($P580&lt;&gt;"",IF(MAXIFS(Investment!$AH:$AH,Investment!$H:$H,LEFT($P580,30)&amp;"*"),MAXIFS(Investment!$AH:$AH,Investment!$H:$H,LEFT($P580,30)&amp;"*"),),)</f>
        <v/>
      </c>
      <c r="P580" s="299"/>
      <c r="R580" s="52"/>
    </row>
    <row r="581">
      <c r="A581" s="122">
        <v>42173.0</v>
      </c>
      <c r="B581" s="170"/>
      <c r="C581" s="311" t="s">
        <v>1429</v>
      </c>
      <c r="D581" s="55" t="s">
        <v>272</v>
      </c>
      <c r="E581" s="245"/>
      <c r="F581" s="264"/>
      <c r="G581" s="128">
        <v>684.3</v>
      </c>
      <c r="H581" s="318" t="str">
        <f t="shared" si="555"/>
        <v>TOTAL GABON@DIVIDEND@@684.3</v>
      </c>
      <c r="I581" s="138" t="str">
        <f t="shared" ref="I581:J581" si="587">IFS(AND($B581&lt;&gt;"",$E581&lt;&gt;""),IF(INDEX(N:N,MATCH($C581,$P:$P,0),1)&lt;&gt;"",$E581*INDEX(N:N,MATCH($C581,$P:$P,0),1)+$G581,""),AND($B581&lt;&gt;"",$D581="COST",$G581&lt;0),$G581,TRUE,)</f>
        <v/>
      </c>
      <c r="J581" s="138" t="str">
        <f t="shared" si="587"/>
        <v/>
      </c>
      <c r="K581" s="266" t="str">
        <f t="shared" si="3"/>
        <v>TOTAL GABON</v>
      </c>
      <c r="L581" s="156">
        <f t="shared" si="4"/>
        <v>0</v>
      </c>
      <c r="M581" s="156">
        <f t="shared" si="5"/>
        <v>-24138.28</v>
      </c>
      <c r="N581" s="155" t="str">
        <f>IF($P581&lt;&gt;"",IF(MAXIFS(Investment!$M:$M,Investment!$H:$H,LEFT($P581,30)&amp;"*"),MAXIFS(Investment!$M:$M,Investment!$H:$H,LEFT($P581,30)&amp;"*"),),)</f>
        <v/>
      </c>
      <c r="O581" s="158" t="str">
        <f>IF($P581&lt;&gt;"",IF(MAXIFS(Investment!$AH:$AH,Investment!$H:$H,LEFT($P581,30)&amp;"*"),MAXIFS(Investment!$AH:$AH,Investment!$H:$H,LEFT($P581,30)&amp;"*"),),)</f>
        <v/>
      </c>
      <c r="P581" s="299"/>
      <c r="R581" s="52"/>
    </row>
    <row r="582">
      <c r="A582" s="122">
        <v>41983.0</v>
      </c>
      <c r="B582" s="55"/>
      <c r="C582" s="304" t="s">
        <v>1429</v>
      </c>
      <c r="D582" s="55" t="s">
        <v>319</v>
      </c>
      <c r="E582" s="55">
        <v>-21.0</v>
      </c>
      <c r="F582" s="264">
        <v>305.05</v>
      </c>
      <c r="G582" s="128">
        <v>6400.28</v>
      </c>
      <c r="H582" s="318" t="str">
        <f t="shared" si="555"/>
        <v>TOTAL GABON@SELL@-21@6400.28</v>
      </c>
      <c r="I582" s="138" t="str">
        <f t="shared" ref="I582:J582" si="588">IFS(AND($B582&lt;&gt;"",$E582&lt;&gt;""),IF(INDEX(N:N,MATCH($C582,$P:$P,0),1)&lt;&gt;"",$E582*INDEX(N:N,MATCH($C582,$P:$P,0),1)+$G582,""),AND($B582&lt;&gt;"",$D582="COST",$G582&lt;0),$G582,TRUE,)</f>
        <v/>
      </c>
      <c r="J582" s="138" t="str">
        <f t="shared" si="588"/>
        <v/>
      </c>
      <c r="K582" s="266" t="str">
        <f t="shared" si="3"/>
        <v>TOTAL GABON</v>
      </c>
      <c r="L582" s="156">
        <f t="shared" si="4"/>
        <v>0</v>
      </c>
      <c r="M582" s="156">
        <f t="shared" si="5"/>
        <v>-24138.28</v>
      </c>
      <c r="N582" s="155" t="str">
        <f>IF($P582&lt;&gt;"",IF(MAXIFS(Investment!$M:$M,Investment!$H:$H,LEFT($P582,30)&amp;"*"),MAXIFS(Investment!$M:$M,Investment!$H:$H,LEFT($P582,30)&amp;"*"),),)</f>
        <v/>
      </c>
      <c r="O582" s="158" t="str">
        <f>IF($P582&lt;&gt;"",IF(MAXIFS(Investment!$AH:$AH,Investment!$H:$H,LEFT($P582,30)&amp;"*"),MAXIFS(Investment!$AH:$AH,Investment!$H:$H,LEFT($P582,30)&amp;"*"),),)</f>
        <v/>
      </c>
      <c r="P582" s="48"/>
    </row>
    <row r="583">
      <c r="A583" s="122">
        <v>41982.0</v>
      </c>
      <c r="B583" s="170"/>
      <c r="C583" s="311"/>
      <c r="D583" s="55" t="s">
        <v>378</v>
      </c>
      <c r="E583" s="170"/>
      <c r="F583" s="264"/>
      <c r="G583" s="128">
        <v>-6.0</v>
      </c>
      <c r="H583" s="318" t="str">
        <f t="shared" si="555"/>
        <v>@COST@@-6</v>
      </c>
      <c r="I583" s="138" t="str">
        <f t="shared" ref="I583:J583" si="589">IFS(AND($B583&lt;&gt;"",$E583&lt;&gt;""),IF(INDEX(N:N,MATCH($C583,$P:$P,0),1)&lt;&gt;"",$E583*INDEX(N:N,MATCH($C583,$P:$P,0),1)+$G583,""),AND($B583&lt;&gt;"",$D583="COST",$G583&lt;0),$G583,TRUE,)</f>
        <v/>
      </c>
      <c r="J583" s="138" t="str">
        <f t="shared" si="589"/>
        <v/>
      </c>
      <c r="K583" s="266" t="str">
        <f t="shared" si="3"/>
        <v/>
      </c>
      <c r="L583" s="156" t="str">
        <f t="shared" si="4"/>
        <v/>
      </c>
      <c r="M583" s="156" t="str">
        <f t="shared" si="5"/>
        <v/>
      </c>
      <c r="N583" s="155" t="str">
        <f>IF($P583&lt;&gt;"",IF(MAXIFS(Investment!$M:$M,Investment!$H:$H,LEFT($P583,30)&amp;"*"),MAXIFS(Investment!$M:$M,Investment!$H:$H,LEFT($P583,30)&amp;"*"),),)</f>
        <v/>
      </c>
      <c r="O583" s="158" t="str">
        <f>IF($P583&lt;&gt;"",IF(MAXIFS(Investment!$AH:$AH,Investment!$H:$H,LEFT($P583,30)&amp;"*"),MAXIFS(Investment!$AH:$AH,Investment!$H:$H,LEFT($P583,30)&amp;"*"),),)</f>
        <v/>
      </c>
      <c r="P583" s="48"/>
    </row>
    <row r="584">
      <c r="A584" s="122">
        <v>41981.0</v>
      </c>
      <c r="B584" s="170"/>
      <c r="C584" s="311"/>
      <c r="D584" s="55" t="s">
        <v>312</v>
      </c>
      <c r="E584" s="170"/>
      <c r="F584" s="264"/>
      <c r="G584" s="128">
        <v>-13500.0</v>
      </c>
      <c r="H584" s="318" t="str">
        <f t="shared" si="555"/>
        <v>@APPROVISIONNEMENT@@-13500</v>
      </c>
      <c r="I584" s="138" t="str">
        <f t="shared" ref="I584:J584" si="590">IFS(AND($B584&lt;&gt;"",$E584&lt;&gt;""),IF(INDEX(N:N,MATCH($C584,$P:$P,0),1)&lt;&gt;"",$E584*INDEX(N:N,MATCH($C584,$P:$P,0),1)+$G584,""),AND($B584&lt;&gt;"",$D584="COST",$G584&lt;0),$G584,TRUE,)</f>
        <v/>
      </c>
      <c r="J584" s="138" t="str">
        <f t="shared" si="590"/>
        <v/>
      </c>
      <c r="K584" s="266" t="str">
        <f t="shared" si="3"/>
        <v/>
      </c>
      <c r="L584" s="156" t="str">
        <f t="shared" si="4"/>
        <v/>
      </c>
      <c r="M584" s="156" t="str">
        <f t="shared" si="5"/>
        <v/>
      </c>
      <c r="N584" s="155" t="str">
        <f>IF($P584&lt;&gt;"",IF(MAXIFS(Investment!$M:$M,Investment!$H:$H,LEFT($P584,30)&amp;"*"),MAXIFS(Investment!$M:$M,Investment!$H:$H,LEFT($P584,30)&amp;"*"),),)</f>
        <v/>
      </c>
      <c r="O584" s="158" t="str">
        <f>IF($P584&lt;&gt;"",IF(MAXIFS(Investment!$AH:$AH,Investment!$H:$H,LEFT($P584,30)&amp;"*"),MAXIFS(Investment!$AH:$AH,Investment!$H:$H,LEFT($P584,30)&amp;"*"),),)</f>
        <v/>
      </c>
      <c r="P584" s="48"/>
    </row>
    <row r="585">
      <c r="A585" s="122">
        <v>41981.0</v>
      </c>
      <c r="B585" s="170"/>
      <c r="C585" s="311"/>
      <c r="D585" s="55" t="s">
        <v>312</v>
      </c>
      <c r="E585" s="170"/>
      <c r="F585" s="264"/>
      <c r="G585" s="128">
        <v>7020.41</v>
      </c>
      <c r="H585" s="318" t="str">
        <f t="shared" si="555"/>
        <v>@APPROVISIONNEMENT@@7020.41</v>
      </c>
      <c r="I585" s="138" t="str">
        <f t="shared" ref="I585:J585" si="591">IFS(AND($B585&lt;&gt;"",$E585&lt;&gt;""),IF(INDEX(N:N,MATCH($C585,$P:$P,0),1)&lt;&gt;"",$E585*INDEX(N:N,MATCH($C585,$P:$P,0),1)+$G585,""),AND($B585&lt;&gt;"",$D585="COST",$G585&lt;0),$G585,TRUE,)</f>
        <v/>
      </c>
      <c r="J585" s="138" t="str">
        <f t="shared" si="591"/>
        <v/>
      </c>
      <c r="K585" s="266" t="str">
        <f t="shared" si="3"/>
        <v/>
      </c>
      <c r="L585" s="156" t="str">
        <f t="shared" si="4"/>
        <v/>
      </c>
      <c r="M585" s="156" t="str">
        <f t="shared" si="5"/>
        <v/>
      </c>
      <c r="N585" s="155" t="str">
        <f>IF($P585&lt;&gt;"",IF(MAXIFS(Investment!$M:$M,Investment!$H:$H,LEFT($P585,30)&amp;"*"),MAXIFS(Investment!$M:$M,Investment!$H:$H,LEFT($P585,30)&amp;"*"),),)</f>
        <v/>
      </c>
      <c r="O585" s="158" t="str">
        <f>IF($P585&lt;&gt;"",IF(MAXIFS(Investment!$AH:$AH,Investment!$H:$H,LEFT($P585,30)&amp;"*"),MAXIFS(Investment!$AH:$AH,Investment!$H:$H,LEFT($P585,30)&amp;"*"),),)</f>
        <v/>
      </c>
      <c r="P585" s="48"/>
    </row>
    <row r="586">
      <c r="A586" s="122">
        <v>41933.0</v>
      </c>
      <c r="B586" s="170"/>
      <c r="C586" s="311" t="s">
        <v>1429</v>
      </c>
      <c r="D586" s="55" t="s">
        <v>330</v>
      </c>
      <c r="E586" s="30">
        <v>38.0</v>
      </c>
      <c r="F586" s="264">
        <v>346.34</v>
      </c>
      <c r="G586" s="128">
        <v>-13172.76</v>
      </c>
      <c r="H586" s="318" t="str">
        <f t="shared" si="555"/>
        <v>TOTAL GABON@BUY@38@-13172.76</v>
      </c>
      <c r="I586" s="138" t="str">
        <f t="shared" ref="I586:J586" si="592">IFS(AND($B586&lt;&gt;"",$E586&lt;&gt;""),IF(INDEX(N:N,MATCH($C586,$P:$P,0),1)&lt;&gt;"",$E586*INDEX(N:N,MATCH($C586,$P:$P,0),1)+$G586,""),AND($B586&lt;&gt;"",$D586="COST",$G586&lt;0),$G586,TRUE,)</f>
        <v/>
      </c>
      <c r="J586" s="138" t="str">
        <f t="shared" si="592"/>
        <v/>
      </c>
      <c r="K586" s="266" t="str">
        <f t="shared" si="3"/>
        <v>TOTAL GABON</v>
      </c>
      <c r="L586" s="156">
        <f t="shared" si="4"/>
        <v>0</v>
      </c>
      <c r="M586" s="156">
        <f t="shared" si="5"/>
        <v>-24138.28</v>
      </c>
      <c r="N586" s="155" t="str">
        <f>IF($P586&lt;&gt;"",IF(MAXIFS(Investment!$M:$M,Investment!$H:$H,LEFT($P586,30)&amp;"*"),MAXIFS(Investment!$M:$M,Investment!$H:$H,LEFT($P586,30)&amp;"*"),),)</f>
        <v/>
      </c>
      <c r="O586" s="158" t="str">
        <f>IF($P586&lt;&gt;"",IF(MAXIFS(Investment!$AH:$AH,Investment!$H:$H,LEFT($P586,30)&amp;"*"),MAXIFS(Investment!$AH:$AH,Investment!$H:$H,LEFT($P586,30)&amp;"*"),),)</f>
        <v/>
      </c>
      <c r="P586" s="299"/>
      <c r="R586" s="52"/>
    </row>
    <row r="587">
      <c r="A587" s="122">
        <v>41887.0</v>
      </c>
      <c r="C587" s="48" t="s">
        <v>1430</v>
      </c>
      <c r="D587" s="55" t="s">
        <v>319</v>
      </c>
      <c r="E587" s="30">
        <v>-525.0</v>
      </c>
      <c r="F587" s="264">
        <v>25.3755</v>
      </c>
      <c r="G587" s="128">
        <v>13310.15</v>
      </c>
      <c r="H587" s="318" t="str">
        <f t="shared" si="555"/>
        <v>EDF@SELL@-525@13310.15</v>
      </c>
      <c r="I587" s="138" t="str">
        <f t="shared" ref="I587:J587" si="593">IFS(AND($B587&lt;&gt;"",$E587&lt;&gt;""),IF(INDEX(N:N,MATCH($C587,$P:$P,0),1)&lt;&gt;"",$E587*INDEX(N:N,MATCH($C587,$P:$P,0),1)+$G587,""),AND($B587&lt;&gt;"",$D587="COST",$G587&lt;0),$G587,TRUE,)</f>
        <v/>
      </c>
      <c r="J587" s="138" t="str">
        <f t="shared" si="593"/>
        <v/>
      </c>
      <c r="K587" s="266" t="str">
        <f t="shared" si="3"/>
        <v>EDF</v>
      </c>
      <c r="L587" s="156">
        <f t="shared" si="4"/>
        <v>0</v>
      </c>
      <c r="M587" s="156">
        <f t="shared" si="5"/>
        <v>1451.96</v>
      </c>
      <c r="N587" s="155" t="str">
        <f>IF($P587&lt;&gt;"",IF(MAXIFS(Investment!$M:$M,Investment!$H:$H,LEFT($P587,30)&amp;"*"),MAXIFS(Investment!$M:$M,Investment!$H:$H,LEFT($P587,30)&amp;"*"),),)</f>
        <v/>
      </c>
      <c r="O587" s="158" t="str">
        <f>IF($P587&lt;&gt;"",IF(MAXIFS(Investment!$AH:$AH,Investment!$H:$H,LEFT($P587,30)&amp;"*"),MAXIFS(Investment!$AH:$AH,Investment!$H:$H,LEFT($P587,30)&amp;"*"),),)</f>
        <v/>
      </c>
      <c r="P587" s="299"/>
      <c r="R587" s="52"/>
    </row>
    <row r="588">
      <c r="A588" s="122">
        <v>41821.0</v>
      </c>
      <c r="B588" s="330"/>
      <c r="C588" s="331" t="s">
        <v>1430</v>
      </c>
      <c r="D588" s="124" t="s">
        <v>378</v>
      </c>
      <c r="E588" s="30"/>
      <c r="F588" s="264"/>
      <c r="G588" s="128">
        <v>-24.17</v>
      </c>
      <c r="H588" s="318" t="str">
        <f t="shared" si="555"/>
        <v>EDF@COST@@-24.17</v>
      </c>
      <c r="I588" s="138" t="str">
        <f t="shared" ref="I588:J588" si="594">IFS(AND($B588&lt;&gt;"",$E588&lt;&gt;""),IF(INDEX(N:N,MATCH($C588,$P:$P,0),1)&lt;&gt;"",$E588*INDEX(N:N,MATCH($C588,$P:$P,0),1)+$G588,""),AND($B588&lt;&gt;"",$D588="COST",$G588&lt;0),$G588,TRUE,)</f>
        <v/>
      </c>
      <c r="J588" s="138" t="str">
        <f t="shared" si="594"/>
        <v/>
      </c>
      <c r="K588" s="266" t="str">
        <f t="shared" si="3"/>
        <v>EDF</v>
      </c>
      <c r="L588" s="156">
        <f t="shared" si="4"/>
        <v>0</v>
      </c>
      <c r="M588" s="156">
        <f t="shared" si="5"/>
        <v>1451.96</v>
      </c>
      <c r="N588" s="155" t="str">
        <f>IF($P588&lt;&gt;"",IF(MAXIFS(Investment!$M:$M,Investment!$H:$H,LEFT($P588,30)&amp;"*"),MAXIFS(Investment!$M:$M,Investment!$H:$H,LEFT($P588,30)&amp;"*"),),)</f>
        <v/>
      </c>
      <c r="O588" s="158" t="str">
        <f>IF($P588&lt;&gt;"",IF(MAXIFS(Investment!$AH:$AH,Investment!$H:$H,LEFT($P588,30)&amp;"*"),MAXIFS(Investment!$AH:$AH,Investment!$H:$H,LEFT($P588,30)&amp;"*"),),)</f>
        <v/>
      </c>
      <c r="P588" s="141"/>
      <c r="Q588" s="156"/>
      <c r="R588" s="279"/>
    </row>
    <row r="589">
      <c r="A589" s="122">
        <v>41821.0</v>
      </c>
      <c r="C589" s="48" t="s">
        <v>1430</v>
      </c>
      <c r="D589" s="55" t="s">
        <v>330</v>
      </c>
      <c r="E589" s="55">
        <v>525.0</v>
      </c>
      <c r="F589" s="264">
        <v>23.02</v>
      </c>
      <c r="G589" s="128">
        <v>-12096.38</v>
      </c>
      <c r="H589" s="318" t="str">
        <f t="shared" si="555"/>
        <v>EDF@BUY@525@-12096.38</v>
      </c>
      <c r="I589" s="138" t="str">
        <f t="shared" ref="I589:J589" si="595">IFS(AND($B589&lt;&gt;"",$E589&lt;&gt;""),IF(INDEX(N:N,MATCH($C589,$P:$P,0),1)&lt;&gt;"",$E589*INDEX(N:N,MATCH($C589,$P:$P,0),1)+$G589,""),AND($B589&lt;&gt;"",$D589="COST",$G589&lt;0),$G589,TRUE,)</f>
        <v/>
      </c>
      <c r="J589" s="138" t="str">
        <f t="shared" si="595"/>
        <v/>
      </c>
      <c r="K589" s="266" t="str">
        <f t="shared" si="3"/>
        <v>EDF</v>
      </c>
      <c r="L589" s="156">
        <f t="shared" si="4"/>
        <v>0</v>
      </c>
      <c r="M589" s="156">
        <f t="shared" si="5"/>
        <v>1451.96</v>
      </c>
      <c r="N589" s="155" t="str">
        <f>IF($P589&lt;&gt;"",IF(MAXIFS(Investment!$M:$M,Investment!$H:$H,LEFT($P589,30)&amp;"*"),MAXIFS(Investment!$M:$M,Investment!$H:$H,LEFT($P589,30)&amp;"*"),),)</f>
        <v/>
      </c>
      <c r="O589" s="158" t="str">
        <f>IF($P589&lt;&gt;"",IF(MAXIFS(Investment!$AH:$AH,Investment!$H:$H,LEFT($P589,30)&amp;"*"),MAXIFS(Investment!$AH:$AH,Investment!$H:$H,LEFT($P589,30)&amp;"*"),),)</f>
        <v/>
      </c>
      <c r="P589" s="299"/>
      <c r="R589" s="52"/>
    </row>
    <row r="590">
      <c r="A590" s="122">
        <v>41816.0</v>
      </c>
      <c r="C590" s="48" t="s">
        <v>1431</v>
      </c>
      <c r="D590" s="55" t="s">
        <v>319</v>
      </c>
      <c r="E590" s="30">
        <v>-345.0</v>
      </c>
      <c r="F590" s="264">
        <v>31.1974</v>
      </c>
      <c r="G590" s="128">
        <v>10753.41</v>
      </c>
      <c r="H590" s="318" t="str">
        <f t="shared" si="555"/>
        <v>BOUYGUES@SELL@-345@10753.41</v>
      </c>
      <c r="I590" s="138" t="str">
        <f t="shared" ref="I590:J590" si="596">IFS(AND($B590&lt;&gt;"",$E590&lt;&gt;""),IF(INDEX(N:N,MATCH($C590,$P:$P,0),1)&lt;&gt;"",$E590*INDEX(N:N,MATCH($C590,$P:$P,0),1)+$G590,""),AND($B590&lt;&gt;"",$D590="COST",$G590&lt;0),$G590,TRUE,)</f>
        <v/>
      </c>
      <c r="J590" s="138" t="str">
        <f t="shared" si="596"/>
        <v/>
      </c>
      <c r="K590" s="266" t="str">
        <f t="shared" si="3"/>
        <v>BOUYGUES</v>
      </c>
      <c r="L590" s="156">
        <f t="shared" si="4"/>
        <v>0</v>
      </c>
      <c r="M590" s="156">
        <f t="shared" si="5"/>
        <v>1091.52</v>
      </c>
      <c r="N590" s="155" t="str">
        <f>IF($P590&lt;&gt;"",IF(MAXIFS(Investment!$M:$M,Investment!$H:$H,LEFT($P590,30)&amp;"*"),MAXIFS(Investment!$M:$M,Investment!$H:$H,LEFT($P590,30)&amp;"*"),),)</f>
        <v/>
      </c>
      <c r="O590" s="158" t="str">
        <f>IF($P590&lt;&gt;"",IF(MAXIFS(Investment!$AH:$AH,Investment!$H:$H,LEFT($P590,30)&amp;"*"),MAXIFS(Investment!$AH:$AH,Investment!$H:$H,LEFT($P590,30)&amp;"*"),),)</f>
        <v/>
      </c>
      <c r="P590" s="299"/>
      <c r="R590" s="52"/>
    </row>
    <row r="591">
      <c r="A591" s="122">
        <v>41809.0</v>
      </c>
      <c r="B591" s="170"/>
      <c r="C591" s="311" t="s">
        <v>1429</v>
      </c>
      <c r="D591" s="55" t="s">
        <v>272</v>
      </c>
      <c r="E591" s="30"/>
      <c r="F591" s="264"/>
      <c r="G591" s="128">
        <v>1586.91</v>
      </c>
      <c r="H591" s="318" t="str">
        <f t="shared" si="555"/>
        <v>TOTAL GABON@DIVIDEND@@1586.91</v>
      </c>
      <c r="I591" s="138" t="str">
        <f t="shared" ref="I591:J591" si="597">IFS(AND($B591&lt;&gt;"",$E591&lt;&gt;""),IF(INDEX(N:N,MATCH($C591,$P:$P,0),1)&lt;&gt;"",$E591*INDEX(N:N,MATCH($C591,$P:$P,0),1)+$G591,""),AND($B591&lt;&gt;"",$D591="COST",$G591&lt;0),$G591,TRUE,)</f>
        <v/>
      </c>
      <c r="J591" s="138" t="str">
        <f t="shared" si="597"/>
        <v/>
      </c>
      <c r="K591" s="266" t="str">
        <f t="shared" si="3"/>
        <v>TOTAL GABON</v>
      </c>
      <c r="L591" s="156">
        <f t="shared" si="4"/>
        <v>0</v>
      </c>
      <c r="M591" s="156">
        <f t="shared" si="5"/>
        <v>-24138.28</v>
      </c>
      <c r="N591" s="155" t="str">
        <f>IF($P591&lt;&gt;"",IF(MAXIFS(Investment!$M:$M,Investment!$H:$H,LEFT($P591,30)&amp;"*"),MAXIFS(Investment!$M:$M,Investment!$H:$H,LEFT($P591,30)&amp;"*"),),)</f>
        <v/>
      </c>
      <c r="O591" s="158" t="str">
        <f>IF($P591&lt;&gt;"",IF(MAXIFS(Investment!$AH:$AH,Investment!$H:$H,LEFT($P591,30)&amp;"*"),MAXIFS(Investment!$AH:$AH,Investment!$H:$H,LEFT($P591,30)&amp;"*"),),)</f>
        <v/>
      </c>
      <c r="P591" s="299"/>
      <c r="R591" s="52"/>
    </row>
    <row r="592">
      <c r="A592" s="122">
        <v>41794.0</v>
      </c>
      <c r="C592" s="48" t="s">
        <v>1431</v>
      </c>
      <c r="D592" s="55" t="s">
        <v>272</v>
      </c>
      <c r="E592" s="30"/>
      <c r="F592" s="264"/>
      <c r="G592" s="128">
        <v>330.2</v>
      </c>
      <c r="H592" s="318" t="str">
        <f t="shared" si="555"/>
        <v>BOUYGUES@DIVIDEND@@330.2</v>
      </c>
      <c r="I592" s="138" t="str">
        <f t="shared" ref="I592:J592" si="598">IFS(AND($B592&lt;&gt;"",$E592&lt;&gt;""),IF(INDEX(N:N,MATCH($C592,$P:$P,0),1)&lt;&gt;"",$E592*INDEX(N:N,MATCH($C592,$P:$P,0),1)+$G592,""),AND($B592&lt;&gt;"",$D592="COST",$G592&lt;0),$G592,TRUE,)</f>
        <v/>
      </c>
      <c r="J592" s="138" t="str">
        <f t="shared" si="598"/>
        <v/>
      </c>
      <c r="K592" s="266" t="str">
        <f t="shared" si="3"/>
        <v>BOUYGUES</v>
      </c>
      <c r="L592" s="156">
        <f t="shared" si="4"/>
        <v>0</v>
      </c>
      <c r="M592" s="156">
        <f t="shared" si="5"/>
        <v>1091.52</v>
      </c>
      <c r="N592" s="155" t="str">
        <f>IF($P592&lt;&gt;"",IF(MAXIFS(Investment!$M:$M,Investment!$H:$H,LEFT($P592,30)&amp;"*"),MAXIFS(Investment!$M:$M,Investment!$H:$H,LEFT($P592,30)&amp;"*"),),)</f>
        <v/>
      </c>
      <c r="O592" s="158" t="str">
        <f>IF($P592&lt;&gt;"",IF(MAXIFS(Investment!$AH:$AH,Investment!$H:$H,LEFT($P592,30)&amp;"*"),MAXIFS(Investment!$AH:$AH,Investment!$H:$H,LEFT($P592,30)&amp;"*"),),)</f>
        <v/>
      </c>
      <c r="P592" s="299"/>
      <c r="R592" s="52"/>
    </row>
    <row r="593">
      <c r="A593" s="122">
        <v>41764.0</v>
      </c>
      <c r="C593" s="48" t="s">
        <v>1431</v>
      </c>
      <c r="D593" s="326" t="s">
        <v>378</v>
      </c>
      <c r="E593" s="30">
        <v>20.0</v>
      </c>
      <c r="F593" s="264">
        <v>25.21</v>
      </c>
      <c r="G593" s="128">
        <v>0.0</v>
      </c>
      <c r="H593" s="318" t="str">
        <f t="shared" si="555"/>
        <v>BOUYGUES@COST@20@0</v>
      </c>
      <c r="I593" s="138" t="str">
        <f t="shared" ref="I593:J593" si="599">IFS(AND($B593&lt;&gt;"",$E593&lt;&gt;""),IF(INDEX(N:N,MATCH($C593,$P:$P,0),1)&lt;&gt;"",$E593*INDEX(N:N,MATCH($C593,$P:$P,0),1)+$G593,""),AND($B593&lt;&gt;"",$D593="COST",$G593&lt;0),$G593,TRUE,)</f>
        <v/>
      </c>
      <c r="J593" s="138" t="str">
        <f t="shared" si="599"/>
        <v/>
      </c>
      <c r="K593" s="266" t="str">
        <f t="shared" si="3"/>
        <v>BOUYGUES</v>
      </c>
      <c r="L593" s="156">
        <f t="shared" si="4"/>
        <v>0</v>
      </c>
      <c r="M593" s="156">
        <f t="shared" si="5"/>
        <v>1091.52</v>
      </c>
      <c r="N593" s="155" t="str">
        <f>IF($P593&lt;&gt;"",IF(MAXIFS(Investment!$M:$M,Investment!$H:$H,LEFT($P593,30)&amp;"*"),MAXIFS(Investment!$M:$M,Investment!$H:$H,LEFT($P593,30)&amp;"*"),),)</f>
        <v/>
      </c>
      <c r="O593" s="158" t="str">
        <f>IF($P593&lt;&gt;"",IF(MAXIFS(Investment!$AH:$AH,Investment!$H:$H,LEFT($P593,30)&amp;"*"),MAXIFS(Investment!$AH:$AH,Investment!$H:$H,LEFT($P593,30)&amp;"*"),),)</f>
        <v/>
      </c>
      <c r="P593" s="299"/>
      <c r="R593" s="52"/>
    </row>
    <row r="594">
      <c r="A594" s="122">
        <v>41764.0</v>
      </c>
      <c r="B594" s="55"/>
      <c r="C594" s="304" t="s">
        <v>1431</v>
      </c>
      <c r="D594" s="326" t="s">
        <v>378</v>
      </c>
      <c r="E594" s="30"/>
      <c r="F594" s="264"/>
      <c r="G594" s="128">
        <v>-504.2</v>
      </c>
      <c r="H594" s="318" t="str">
        <f t="shared" si="555"/>
        <v>BOUYGUES@COST@@-504.2</v>
      </c>
      <c r="I594" s="138" t="str">
        <f t="shared" ref="I594:J594" si="600">IFS(AND($B594&lt;&gt;"",$E594&lt;&gt;""),IF(INDEX(N:N,MATCH($C594,$P:$P,0),1)&lt;&gt;"",$E594*INDEX(N:N,MATCH($C594,$P:$P,0),1)+$G594,""),AND($B594&lt;&gt;"",$D594="COST",$G594&lt;0),$G594,TRUE,)</f>
        <v/>
      </c>
      <c r="J594" s="138" t="str">
        <f t="shared" si="600"/>
        <v/>
      </c>
      <c r="K594" s="266" t="str">
        <f t="shared" si="3"/>
        <v>BOUYGUES</v>
      </c>
      <c r="L594" s="156">
        <f t="shared" si="4"/>
        <v>0</v>
      </c>
      <c r="M594" s="156">
        <f t="shared" si="5"/>
        <v>1091.52</v>
      </c>
      <c r="N594" s="155" t="str">
        <f>IF($P594&lt;&gt;"",IF(MAXIFS(Investment!$M:$M,Investment!$H:$H,LEFT($P594,30)&amp;"*"),MAXIFS(Investment!$M:$M,Investment!$H:$H,LEFT($P594,30)&amp;"*"),),)</f>
        <v/>
      </c>
      <c r="O594" s="158" t="str">
        <f>IF($P594&lt;&gt;"",IF(MAXIFS(Investment!$AH:$AH,Investment!$H:$H,LEFT($P594,30)&amp;"*"),MAXIFS(Investment!$AH:$AH,Investment!$H:$H,LEFT($P594,30)&amp;"*"),),)</f>
        <v/>
      </c>
      <c r="P594" s="299"/>
      <c r="R594" s="52"/>
    </row>
    <row r="595">
      <c r="A595" s="122">
        <v>41746.0</v>
      </c>
      <c r="C595" s="48" t="s">
        <v>1431</v>
      </c>
      <c r="D595" s="55" t="s">
        <v>330</v>
      </c>
      <c r="E595" s="30">
        <v>325.0</v>
      </c>
      <c r="F595" s="264">
        <v>29.205</v>
      </c>
      <c r="G595" s="128">
        <v>-9500.17</v>
      </c>
      <c r="H595" s="318" t="str">
        <f t="shared" si="555"/>
        <v>BOUYGUES@BUY@325@-9500.17</v>
      </c>
      <c r="I595" s="138" t="str">
        <f t="shared" ref="I595:J595" si="601">IFS(AND($B595&lt;&gt;"",$E595&lt;&gt;""),IF(INDEX(N:N,MATCH($C595,$P:$P,0),1)&lt;&gt;"",$E595*INDEX(N:N,MATCH($C595,$P:$P,0),1)+$G595,""),AND($B595&lt;&gt;"",$D595="COST",$G595&lt;0),$G595,TRUE,)</f>
        <v/>
      </c>
      <c r="J595" s="138" t="str">
        <f t="shared" si="601"/>
        <v/>
      </c>
      <c r="K595" s="266" t="str">
        <f t="shared" si="3"/>
        <v>BOUYGUES</v>
      </c>
      <c r="L595" s="156">
        <f t="shared" si="4"/>
        <v>0</v>
      </c>
      <c r="M595" s="156">
        <f t="shared" si="5"/>
        <v>1091.52</v>
      </c>
      <c r="N595" s="155" t="str">
        <f>IF($P595&lt;&gt;"",IF(MAXIFS(Investment!$M:$M,Investment!$H:$H,LEFT($P595,30)&amp;"*"),MAXIFS(Investment!$M:$M,Investment!$H:$H,LEFT($P595,30)&amp;"*"),),)</f>
        <v/>
      </c>
      <c r="O595" s="158" t="str">
        <f>IF($P595&lt;&gt;"",IF(MAXIFS(Investment!$AH:$AH,Investment!$H:$H,LEFT($P595,30)&amp;"*"),MAXIFS(Investment!$AH:$AH,Investment!$H:$H,LEFT($P595,30)&amp;"*"),),)</f>
        <v/>
      </c>
      <c r="P595" s="299"/>
      <c r="R595" s="52"/>
    </row>
    <row r="596">
      <c r="A596" s="122">
        <v>41746.0</v>
      </c>
      <c r="B596" s="55"/>
      <c r="C596" s="304" t="s">
        <v>1431</v>
      </c>
      <c r="D596" s="326" t="s">
        <v>378</v>
      </c>
      <c r="E596" s="30"/>
      <c r="F596" s="264"/>
      <c r="G596" s="128">
        <v>-18.98</v>
      </c>
      <c r="H596" s="318" t="str">
        <f t="shared" si="555"/>
        <v>BOUYGUES@COST@@-18.98</v>
      </c>
      <c r="I596" s="138" t="str">
        <f t="shared" ref="I596:J596" si="602">IFS(AND($B596&lt;&gt;"",$E596&lt;&gt;""),IF(INDEX(N:N,MATCH($C596,$P:$P,0),1)&lt;&gt;"",$E596*INDEX(N:N,MATCH($C596,$P:$P,0),1)+$G596,""),AND($B596&lt;&gt;"",$D596="COST",$G596&lt;0),$G596,TRUE,)</f>
        <v/>
      </c>
      <c r="J596" s="138" t="str">
        <f t="shared" si="602"/>
        <v/>
      </c>
      <c r="K596" s="266" t="str">
        <f t="shared" si="3"/>
        <v>BOUYGUES</v>
      </c>
      <c r="L596" s="156">
        <f t="shared" si="4"/>
        <v>0</v>
      </c>
      <c r="M596" s="156">
        <f t="shared" si="5"/>
        <v>1091.52</v>
      </c>
      <c r="N596" s="155" t="str">
        <f>IF($P596&lt;&gt;"",IF(MAXIFS(Investment!$M:$M,Investment!$H:$H,LEFT($P596,30)&amp;"*"),MAXIFS(Investment!$M:$M,Investment!$H:$H,LEFT($P596,30)&amp;"*"),),)</f>
        <v/>
      </c>
      <c r="O596" s="158" t="str">
        <f>IF($P596&lt;&gt;"",IF(MAXIFS(Investment!$AH:$AH,Investment!$H:$H,LEFT($P596,30)&amp;"*"),MAXIFS(Investment!$AH:$AH,Investment!$H:$H,LEFT($P596,30)&amp;"*"),),)</f>
        <v/>
      </c>
      <c r="P596" s="299"/>
      <c r="R596" s="52"/>
    </row>
    <row r="597">
      <c r="A597" s="122">
        <v>41744.0</v>
      </c>
      <c r="B597" s="170"/>
      <c r="C597" s="311"/>
      <c r="D597" s="55" t="s">
        <v>312</v>
      </c>
      <c r="E597" s="170"/>
      <c r="F597" s="264"/>
      <c r="G597" s="128">
        <v>7979.59</v>
      </c>
      <c r="H597" s="318" t="str">
        <f t="shared" si="555"/>
        <v>@APPROVISIONNEMENT@@7979.59</v>
      </c>
      <c r="I597" s="138" t="str">
        <f t="shared" ref="I597:J597" si="603">IFS(AND($B597&lt;&gt;"",$E597&lt;&gt;""),IF(INDEX(N:N,MATCH($C597,$P:$P,0),1)&lt;&gt;"",$E597*INDEX(N:N,MATCH($C597,$P:$P,0),1)+$G597,""),AND($B597&lt;&gt;"",$D597="COST",$G597&lt;0),$G597,TRUE,)</f>
        <v/>
      </c>
      <c r="J597" s="138" t="str">
        <f t="shared" si="603"/>
        <v/>
      </c>
      <c r="K597" s="266" t="str">
        <f t="shared" si="3"/>
        <v/>
      </c>
      <c r="L597" s="156" t="str">
        <f t="shared" si="4"/>
        <v/>
      </c>
      <c r="M597" s="156" t="str">
        <f t="shared" si="5"/>
        <v/>
      </c>
      <c r="N597" s="155" t="str">
        <f>IF($P597&lt;&gt;"",IF(MAXIFS(Investment!$M:$M,Investment!$H:$H,LEFT($P597,30)&amp;"*"),MAXIFS(Investment!$M:$M,Investment!$H:$H,LEFT($P597,30)&amp;"*"),),)</f>
        <v/>
      </c>
      <c r="O597" s="158" t="str">
        <f>IF($P597&lt;&gt;"",IF(MAXIFS(Investment!$AH:$AH,Investment!$H:$H,LEFT($P597,30)&amp;"*"),MAXIFS(Investment!$AH:$AH,Investment!$H:$H,LEFT($P597,30)&amp;"*"),),)</f>
        <v/>
      </c>
      <c r="P597" s="299"/>
      <c r="R597" s="52"/>
    </row>
    <row r="598">
      <c r="A598" s="122">
        <v>41743.0</v>
      </c>
      <c r="B598" s="170"/>
      <c r="C598" s="311" t="s">
        <v>1429</v>
      </c>
      <c r="D598" s="55" t="s">
        <v>330</v>
      </c>
      <c r="E598" s="30">
        <v>100.0</v>
      </c>
      <c r="F598" s="264">
        <v>411.5</v>
      </c>
      <c r="G598" s="128">
        <v>-41162.0</v>
      </c>
      <c r="H598" s="318" t="str">
        <f t="shared" si="555"/>
        <v>TOTAL GABON@BUY@100@-41162</v>
      </c>
      <c r="I598" s="138" t="str">
        <f t="shared" ref="I598:J598" si="604">IFS(AND($B598&lt;&gt;"",$E598&lt;&gt;""),IF(INDEX(N:N,MATCH($C598,$P:$P,0),1)&lt;&gt;"",$E598*INDEX(N:N,MATCH($C598,$P:$P,0),1)+$G598,""),AND($B598&lt;&gt;"",$D598="COST",$G598&lt;0),$G598,TRUE,)</f>
        <v/>
      </c>
      <c r="J598" s="138" t="str">
        <f t="shared" si="604"/>
        <v/>
      </c>
      <c r="K598" s="266" t="str">
        <f t="shared" si="3"/>
        <v>TOTAL GABON</v>
      </c>
      <c r="L598" s="156">
        <f t="shared" si="4"/>
        <v>0</v>
      </c>
      <c r="M598" s="156">
        <f t="shared" si="5"/>
        <v>-24138.28</v>
      </c>
      <c r="N598" s="155" t="str">
        <f>IF($P598&lt;&gt;"",IF(MAXIFS(Investment!$M:$M,Investment!$H:$H,LEFT($P598,30)&amp;"*"),MAXIFS(Investment!$M:$M,Investment!$H:$H,LEFT($P598,30)&amp;"*"),),)</f>
        <v/>
      </c>
      <c r="O598" s="158" t="str">
        <f>IF($P598&lt;&gt;"",IF(MAXIFS(Investment!$AH:$AH,Investment!$H:$H,LEFT($P598,30)&amp;"*"),MAXIFS(Investment!$AH:$AH,Investment!$H:$H,LEFT($P598,30)&amp;"*"),),)</f>
        <v/>
      </c>
      <c r="P598" s="299"/>
      <c r="R598" s="52"/>
    </row>
    <row r="599">
      <c r="A599" s="122">
        <v>41722.0</v>
      </c>
      <c r="C599" s="48" t="s">
        <v>1432</v>
      </c>
      <c r="D599" s="55" t="s">
        <v>319</v>
      </c>
      <c r="E599" s="55">
        <v>-580.0</v>
      </c>
      <c r="F599" s="264">
        <v>73.2</v>
      </c>
      <c r="G599" s="128">
        <v>42444.0</v>
      </c>
      <c r="H599" s="318" t="str">
        <f t="shared" si="555"/>
        <v>TECHNIP@SELL@-580@42444</v>
      </c>
      <c r="I599" s="138" t="str">
        <f t="shared" ref="I599:J599" si="605">IFS(AND($B599&lt;&gt;"",$E599&lt;&gt;""),IF(INDEX(N:N,MATCH($C599,$P:$P,0),1)&lt;&gt;"",$E599*INDEX(N:N,MATCH($C599,$P:$P,0),1)+$G599,""),AND($B599&lt;&gt;"",$D599="COST",$G599&lt;0),$G599,TRUE,)</f>
        <v/>
      </c>
      <c r="J599" s="138" t="str">
        <f t="shared" si="605"/>
        <v/>
      </c>
      <c r="K599" s="266" t="str">
        <f t="shared" si="3"/>
        <v>TECHNIP</v>
      </c>
      <c r="L599" s="156">
        <f t="shared" si="4"/>
        <v>0</v>
      </c>
      <c r="M599" s="156">
        <f t="shared" si="5"/>
        <v>-690.07</v>
      </c>
      <c r="N599" s="155" t="str">
        <f>IF($P599&lt;&gt;"",IF(MAXIFS(Investment!$M:$M,Investment!$H:$H,LEFT($P599,30)&amp;"*"),MAXIFS(Investment!$M:$M,Investment!$H:$H,LEFT($P599,30)&amp;"*"),),)</f>
        <v/>
      </c>
      <c r="O599" s="158" t="str">
        <f>IF($P599&lt;&gt;"",IF(MAXIFS(Investment!$AH:$AH,Investment!$H:$H,LEFT($P599,30)&amp;"*"),MAXIFS(Investment!$AH:$AH,Investment!$H:$H,LEFT($P599,30)&amp;"*"),),)</f>
        <v/>
      </c>
      <c r="P599" s="299"/>
      <c r="R599" s="52"/>
    </row>
    <row r="600">
      <c r="A600" s="122">
        <v>41599.0</v>
      </c>
      <c r="C600" s="48" t="s">
        <v>1432</v>
      </c>
      <c r="D600" s="55" t="s">
        <v>330</v>
      </c>
      <c r="E600" s="30">
        <v>580.0</v>
      </c>
      <c r="F600" s="264">
        <v>74.2</v>
      </c>
      <c r="G600" s="128">
        <v>-43048.0</v>
      </c>
      <c r="H600" s="318" t="str">
        <f t="shared" si="555"/>
        <v>TECHNIP@BUY@580@-43048</v>
      </c>
      <c r="I600" s="138" t="str">
        <f t="shared" ref="I600:J600" si="606">IFS(AND($B600&lt;&gt;"",$E600&lt;&gt;""),IF(INDEX(N:N,MATCH($C600,$P:$P,0),1)&lt;&gt;"",$E600*INDEX(N:N,MATCH($C600,$P:$P,0),1)+$G600,""),AND($B600&lt;&gt;"",$D600="COST",$G600&lt;0),$G600,TRUE,)</f>
        <v/>
      </c>
      <c r="J600" s="138" t="str">
        <f t="shared" si="606"/>
        <v/>
      </c>
      <c r="K600" s="266" t="str">
        <f t="shared" si="3"/>
        <v>TECHNIP</v>
      </c>
      <c r="L600" s="156">
        <f t="shared" si="4"/>
        <v>0</v>
      </c>
      <c r="M600" s="156">
        <f t="shared" si="5"/>
        <v>-690.07</v>
      </c>
      <c r="N600" s="155" t="str">
        <f>IF($P600&lt;&gt;"",IF(MAXIFS(Investment!$M:$M,Investment!$H:$H,LEFT($P600,30)&amp;"*"),MAXIFS(Investment!$M:$M,Investment!$H:$H,LEFT($P600,30)&amp;"*"),),)</f>
        <v/>
      </c>
      <c r="O600" s="158" t="str">
        <f>IF($P600&lt;&gt;"",IF(MAXIFS(Investment!$AH:$AH,Investment!$H:$H,LEFT($P600,30)&amp;"*"),MAXIFS(Investment!$AH:$AH,Investment!$H:$H,LEFT($P600,30)&amp;"*"),),)</f>
        <v/>
      </c>
      <c r="P600" s="299"/>
      <c r="R600" s="52"/>
    </row>
    <row r="601">
      <c r="A601" s="122">
        <v>41599.0</v>
      </c>
      <c r="B601" s="55"/>
      <c r="C601" s="304" t="s">
        <v>1432</v>
      </c>
      <c r="D601" s="326" t="s">
        <v>378</v>
      </c>
      <c r="E601" s="30"/>
      <c r="F601" s="264"/>
      <c r="G601" s="128">
        <v>-86.07</v>
      </c>
      <c r="H601" s="318" t="str">
        <f t="shared" si="555"/>
        <v>TECHNIP@COST@@-86.07</v>
      </c>
      <c r="I601" s="138" t="str">
        <f t="shared" ref="I601:J601" si="607">IFS(AND($B601&lt;&gt;"",$E601&lt;&gt;""),IF(INDEX(N:N,MATCH($C601,$P:$P,0),1)&lt;&gt;"",$E601*INDEX(N:N,MATCH($C601,$P:$P,0),1)+$G601,""),AND($B601&lt;&gt;"",$D601="COST",$G601&lt;0),$G601,TRUE,)</f>
        <v/>
      </c>
      <c r="J601" s="138" t="str">
        <f t="shared" si="607"/>
        <v/>
      </c>
      <c r="K601" s="266" t="str">
        <f t="shared" si="3"/>
        <v>TECHNIP</v>
      </c>
      <c r="L601" s="156">
        <f t="shared" si="4"/>
        <v>0</v>
      </c>
      <c r="M601" s="156">
        <f t="shared" si="5"/>
        <v>-690.07</v>
      </c>
      <c r="N601" s="155" t="str">
        <f>IF($P601&lt;&gt;"",IF(MAXIFS(Investment!$M:$M,Investment!$H:$H,LEFT($P601,30)&amp;"*"),MAXIFS(Investment!$M:$M,Investment!$H:$H,LEFT($P601,30)&amp;"*"),),)</f>
        <v/>
      </c>
      <c r="O601" s="158" t="str">
        <f>IF($P601&lt;&gt;"",IF(MAXIFS(Investment!$AH:$AH,Investment!$H:$H,LEFT($P601,30)&amp;"*"),MAXIFS(Investment!$AH:$AH,Investment!$H:$H,LEFT($P601,30)&amp;"*"),),)</f>
        <v/>
      </c>
      <c r="P601" s="299"/>
      <c r="R601" s="52"/>
    </row>
    <row r="602">
      <c r="A602" s="122">
        <v>41599.0</v>
      </c>
      <c r="C602" s="48" t="s">
        <v>1433</v>
      </c>
      <c r="D602" s="55" t="s">
        <v>319</v>
      </c>
      <c r="E602" s="30">
        <v>-7300.0</v>
      </c>
      <c r="F602" s="264">
        <v>5.873</v>
      </c>
      <c r="G602" s="128">
        <v>42860.9</v>
      </c>
      <c r="H602" s="318" t="str">
        <f t="shared" si="555"/>
        <v>STMICROELECTRONICS@SELL@-7300@42860.9</v>
      </c>
      <c r="I602" s="138" t="str">
        <f t="shared" ref="I602:J602" si="608">IFS(AND($B602&lt;&gt;"",$E602&lt;&gt;""),IF(INDEX(N:N,MATCH($C602,$P:$P,0),1)&lt;&gt;"",$E602*INDEX(N:N,MATCH($C602,$P:$P,0),1)+$G602,""),AND($B602&lt;&gt;"",$D602="COST",$G602&lt;0),$G602,TRUE,)</f>
        <v/>
      </c>
      <c r="J602" s="138" t="str">
        <f t="shared" si="608"/>
        <v/>
      </c>
      <c r="K602" s="266" t="str">
        <f t="shared" si="3"/>
        <v>STMICROELECTRONICS</v>
      </c>
      <c r="L602" s="156">
        <f t="shared" si="4"/>
        <v>0</v>
      </c>
      <c r="M602" s="156">
        <f t="shared" si="5"/>
        <v>1209.7</v>
      </c>
      <c r="N602" s="155" t="str">
        <f>IF($P602&lt;&gt;"",IF(MAXIFS(Investment!$M:$M,Investment!$H:$H,LEFT($P602,30)&amp;"*"),MAXIFS(Investment!$M:$M,Investment!$H:$H,LEFT($P602,30)&amp;"*"),),)</f>
        <v/>
      </c>
      <c r="O602" s="158" t="str">
        <f>IF($P602&lt;&gt;"",IF(MAXIFS(Investment!$AH:$AH,Investment!$H:$H,LEFT($P602,30)&amp;"*"),MAXIFS(Investment!$AH:$AH,Investment!$H:$H,LEFT($P602,30)&amp;"*"),),)</f>
        <v/>
      </c>
      <c r="P602" s="299"/>
      <c r="R602" s="52"/>
    </row>
    <row r="603">
      <c r="A603" s="122">
        <v>41571.0</v>
      </c>
      <c r="C603" s="48" t="s">
        <v>1433</v>
      </c>
      <c r="D603" s="55" t="s">
        <v>330</v>
      </c>
      <c r="E603" s="30">
        <v>7300.0</v>
      </c>
      <c r="F603" s="264">
        <v>5.704</v>
      </c>
      <c r="G603" s="128">
        <v>-41651.2</v>
      </c>
      <c r="H603" s="318" t="str">
        <f t="shared" si="555"/>
        <v>STMICROELECTRONICS@BUY@7300@-41651.2</v>
      </c>
      <c r="I603" s="138" t="str">
        <f t="shared" ref="I603:J603" si="609">IFS(AND($B603&lt;&gt;"",$E603&lt;&gt;""),IF(INDEX(N:N,MATCH($C603,$P:$P,0),1)&lt;&gt;"",$E603*INDEX(N:N,MATCH($C603,$P:$P,0),1)+$G603,""),AND($B603&lt;&gt;"",$D603="COST",$G603&lt;0),$G603,TRUE,)</f>
        <v/>
      </c>
      <c r="J603" s="138" t="str">
        <f t="shared" si="609"/>
        <v/>
      </c>
      <c r="K603" s="266" t="str">
        <f t="shared" si="3"/>
        <v>STMICROELECTRONICS</v>
      </c>
      <c r="L603" s="156">
        <f t="shared" si="4"/>
        <v>0</v>
      </c>
      <c r="M603" s="156">
        <f t="shared" si="5"/>
        <v>1209.7</v>
      </c>
      <c r="N603" s="155" t="str">
        <f>IF($P603&lt;&gt;"",IF(MAXIFS(Investment!$M:$M,Investment!$H:$H,LEFT($P603,30)&amp;"*"),MAXIFS(Investment!$M:$M,Investment!$H:$H,LEFT($P603,30)&amp;"*"),),)</f>
        <v/>
      </c>
      <c r="O603" s="158" t="str">
        <f>IF($P603&lt;&gt;"",IF(MAXIFS(Investment!$AH:$AH,Investment!$H:$H,LEFT($P603,30)&amp;"*"),MAXIFS(Investment!$AH:$AH,Investment!$H:$H,LEFT($P603,30)&amp;"*"),),)</f>
        <v/>
      </c>
      <c r="P603" s="299"/>
      <c r="R603" s="52"/>
    </row>
    <row r="604">
      <c r="A604" s="122">
        <v>41569.0</v>
      </c>
      <c r="C604" s="48" t="s">
        <v>1434</v>
      </c>
      <c r="D604" s="55" t="s">
        <v>319</v>
      </c>
      <c r="E604" s="30">
        <v>-1500.0</v>
      </c>
      <c r="F604" s="264">
        <v>27.59</v>
      </c>
      <c r="G604" s="128">
        <v>41373.0</v>
      </c>
      <c r="H604" s="318" t="str">
        <f t="shared" si="555"/>
        <v>ALSTOM REGROUPT@SELL@-1500@41373</v>
      </c>
      <c r="I604" s="138" t="str">
        <f t="shared" ref="I604:J604" si="610">IFS(AND($B604&lt;&gt;"",$E604&lt;&gt;""),IF(INDEX(N:N,MATCH($C604,$P:$P,0),1)&lt;&gt;"",$E604*INDEX(N:N,MATCH($C604,$P:$P,0),1)+$G604,""),AND($B604&lt;&gt;"",$D604="COST",$G604&lt;0),$G604,TRUE,)</f>
        <v/>
      </c>
      <c r="J604" s="138" t="str">
        <f t="shared" si="610"/>
        <v/>
      </c>
      <c r="K604" s="266" t="str">
        <f t="shared" si="3"/>
        <v>ALSTOM REGROUPT</v>
      </c>
      <c r="L604" s="156">
        <f t="shared" si="4"/>
        <v>0</v>
      </c>
      <c r="M604" s="156">
        <f t="shared" si="5"/>
        <v>3485.4</v>
      </c>
      <c r="N604" s="155" t="str">
        <f>IF($P604&lt;&gt;"",IF(MAXIFS(Investment!$M:$M,Investment!$H:$H,LEFT($P604,30)&amp;"*"),MAXIFS(Investment!$M:$M,Investment!$H:$H,LEFT($P604,30)&amp;"*"),),)</f>
        <v/>
      </c>
      <c r="O604" s="158" t="str">
        <f>IF($P604&lt;&gt;"",IF(MAXIFS(Investment!$AH:$AH,Investment!$H:$H,LEFT($P604,30)&amp;"*"),MAXIFS(Investment!$AH:$AH,Investment!$H:$H,LEFT($P604,30)&amp;"*"),),)</f>
        <v/>
      </c>
      <c r="P604" s="299"/>
      <c r="R604" s="52"/>
    </row>
    <row r="605">
      <c r="A605" s="122">
        <v>41564.0</v>
      </c>
      <c r="C605" s="48" t="s">
        <v>1435</v>
      </c>
      <c r="D605" s="55" t="s">
        <v>319</v>
      </c>
      <c r="E605" s="30">
        <v>-32.0</v>
      </c>
      <c r="F605" s="264">
        <v>21.6</v>
      </c>
      <c r="G605" s="128">
        <v>690.21</v>
      </c>
      <c r="H605" s="318" t="str">
        <f t="shared" si="555"/>
        <v>ANF IMMOBILIER@SELL@-32@690.21</v>
      </c>
      <c r="I605" s="138" t="str">
        <f t="shared" ref="I605:J605" si="611">IFS(AND($B605&lt;&gt;"",$E605&lt;&gt;""),IF(INDEX(N:N,MATCH($C605,$P:$P,0),1)&lt;&gt;"",$E605*INDEX(N:N,MATCH($C605,$P:$P,0),1)+$G605,""),AND($B605&lt;&gt;"",$D605="COST",$G605&lt;0),$G605,TRUE,)</f>
        <v/>
      </c>
      <c r="J605" s="138" t="str">
        <f t="shared" si="611"/>
        <v/>
      </c>
      <c r="K605" s="266" t="str">
        <f t="shared" si="3"/>
        <v>ANF IMMOBILIER</v>
      </c>
      <c r="L605" s="156">
        <f t="shared" si="4"/>
        <v>0</v>
      </c>
      <c r="M605" s="156">
        <f t="shared" si="5"/>
        <v>-5.5</v>
      </c>
      <c r="N605" s="155" t="str">
        <f>IF($P605&lt;&gt;"",IF(MAXIFS(Investment!$M:$M,Investment!$H:$H,LEFT($P605,30)&amp;"*"),MAXIFS(Investment!$M:$M,Investment!$H:$H,LEFT($P605,30)&amp;"*"),),)</f>
        <v/>
      </c>
      <c r="O605" s="158" t="str">
        <f>IF($P605&lt;&gt;"",IF(MAXIFS(Investment!$AH:$AH,Investment!$H:$H,LEFT($P605,30)&amp;"*"),MAXIFS(Investment!$AH:$AH,Investment!$H:$H,LEFT($P605,30)&amp;"*"),),)</f>
        <v/>
      </c>
      <c r="P605" s="299"/>
      <c r="R605" s="52"/>
    </row>
    <row r="606">
      <c r="A606" s="122">
        <v>41564.0</v>
      </c>
      <c r="C606" s="48" t="s">
        <v>1436</v>
      </c>
      <c r="D606" s="55" t="s">
        <v>319</v>
      </c>
      <c r="E606" s="30">
        <v>-16.0</v>
      </c>
      <c r="F606" s="264">
        <v>72.89</v>
      </c>
      <c r="G606" s="128">
        <v>1165.19</v>
      </c>
      <c r="H606" s="318" t="str">
        <f t="shared" si="555"/>
        <v>SANOFI@SELL@-16@1165.19</v>
      </c>
      <c r="I606" s="138" t="str">
        <f t="shared" ref="I606:J606" si="612">IFS(AND($B606&lt;&gt;"",$E606&lt;&gt;""),IF(INDEX(N:N,MATCH($C606,$P:$P,0),1)&lt;&gt;"",$E606*INDEX(N:N,MATCH($C606,$P:$P,0),1)+$G606,""),AND($B606&lt;&gt;"",$D606="COST",$G606&lt;0),$G606,TRUE,)</f>
        <v/>
      </c>
      <c r="J606" s="138" t="str">
        <f t="shared" si="612"/>
        <v/>
      </c>
      <c r="K606" s="266" t="str">
        <f t="shared" si="3"/>
        <v>SANOFI</v>
      </c>
      <c r="L606" s="156">
        <f t="shared" si="4"/>
        <v>0</v>
      </c>
      <c r="M606" s="156">
        <f t="shared" si="5"/>
        <v>-32.19</v>
      </c>
      <c r="N606" s="155" t="str">
        <f>IF($P606&lt;&gt;"",IF(MAXIFS(Investment!$M:$M,Investment!$H:$H,LEFT($P606,30)&amp;"*"),MAXIFS(Investment!$M:$M,Investment!$H:$H,LEFT($P606,30)&amp;"*"),),)</f>
        <v/>
      </c>
      <c r="O606" s="158" t="str">
        <f>IF($P606&lt;&gt;"",IF(MAXIFS(Investment!$AH:$AH,Investment!$H:$H,LEFT($P606,30)&amp;"*"),MAXIFS(Investment!$AH:$AH,Investment!$H:$H,LEFT($P606,30)&amp;"*"),),)</f>
        <v/>
      </c>
      <c r="P606" s="299"/>
      <c r="R606" s="52"/>
    </row>
    <row r="607">
      <c r="A607" s="122">
        <v>41564.0</v>
      </c>
      <c r="C607" s="48" t="s">
        <v>1434</v>
      </c>
      <c r="D607" s="55" t="s">
        <v>330</v>
      </c>
      <c r="E607" s="30">
        <v>1500.0</v>
      </c>
      <c r="F607" s="264">
        <v>25.2</v>
      </c>
      <c r="G607" s="128">
        <v>-37812.0</v>
      </c>
      <c r="H607" s="318" t="str">
        <f t="shared" si="555"/>
        <v>ALSTOM REGROUPT@BUY@1500@-37812</v>
      </c>
      <c r="I607" s="138" t="str">
        <f t="shared" ref="I607:J607" si="613">IFS(AND($B607&lt;&gt;"",$E607&lt;&gt;""),IF(INDEX(N:N,MATCH($C607,$P:$P,0),1)&lt;&gt;"",$E607*INDEX(N:N,MATCH($C607,$P:$P,0),1)+$G607,""),AND($B607&lt;&gt;"",$D607="COST",$G607&lt;0),$G607,TRUE,)</f>
        <v/>
      </c>
      <c r="J607" s="138" t="str">
        <f t="shared" si="613"/>
        <v/>
      </c>
      <c r="K607" s="266" t="str">
        <f t="shared" si="3"/>
        <v>ALSTOM REGROUPT</v>
      </c>
      <c r="L607" s="156">
        <f t="shared" si="4"/>
        <v>0</v>
      </c>
      <c r="M607" s="156">
        <f t="shared" si="5"/>
        <v>3485.4</v>
      </c>
      <c r="N607" s="155" t="str">
        <f>IF($P607&lt;&gt;"",IF(MAXIFS(Investment!$M:$M,Investment!$H:$H,LEFT($P607,30)&amp;"*"),MAXIFS(Investment!$M:$M,Investment!$H:$H,LEFT($P607,30)&amp;"*"),),)</f>
        <v/>
      </c>
      <c r="O607" s="158" t="str">
        <f>IF($P607&lt;&gt;"",IF(MAXIFS(Investment!$AH:$AH,Investment!$H:$H,LEFT($P607,30)&amp;"*"),MAXIFS(Investment!$AH:$AH,Investment!$H:$H,LEFT($P607,30)&amp;"*"),),)</f>
        <v/>
      </c>
      <c r="P607" s="299"/>
      <c r="R607" s="52"/>
    </row>
    <row r="608">
      <c r="A608" s="122">
        <v>41564.0</v>
      </c>
      <c r="B608" s="55"/>
      <c r="C608" s="304" t="s">
        <v>1434</v>
      </c>
      <c r="D608" s="326" t="s">
        <v>378</v>
      </c>
      <c r="E608" s="30"/>
      <c r="F608" s="264"/>
      <c r="G608" s="128">
        <v>-75.6</v>
      </c>
      <c r="H608" s="318" t="str">
        <f t="shared" si="555"/>
        <v>ALSTOM REGROUPT@COST@@-75.6</v>
      </c>
      <c r="I608" s="138" t="str">
        <f t="shared" ref="I608:J608" si="614">IFS(AND($B608&lt;&gt;"",$E608&lt;&gt;""),IF(INDEX(N:N,MATCH($C608,$P:$P,0),1)&lt;&gt;"",$E608*INDEX(N:N,MATCH($C608,$P:$P,0),1)+$G608,""),AND($B608&lt;&gt;"",$D608="COST",$G608&lt;0),$G608,TRUE,)</f>
        <v/>
      </c>
      <c r="J608" s="138" t="str">
        <f t="shared" si="614"/>
        <v/>
      </c>
      <c r="K608" s="266" t="str">
        <f t="shared" si="3"/>
        <v>ALSTOM REGROUPT</v>
      </c>
      <c r="L608" s="156">
        <f t="shared" si="4"/>
        <v>0</v>
      </c>
      <c r="M608" s="156">
        <f t="shared" si="5"/>
        <v>3485.4</v>
      </c>
      <c r="N608" s="155" t="str">
        <f>IF($P608&lt;&gt;"",IF(MAXIFS(Investment!$M:$M,Investment!$H:$H,LEFT($P608,30)&amp;"*"),MAXIFS(Investment!$M:$M,Investment!$H:$H,LEFT($P608,30)&amp;"*"),),)</f>
        <v/>
      </c>
      <c r="O608" s="158" t="str">
        <f>IF($P608&lt;&gt;"",IF(MAXIFS(Investment!$AH:$AH,Investment!$H:$H,LEFT($P608,30)&amp;"*"),MAXIFS(Investment!$AH:$AH,Investment!$H:$H,LEFT($P608,30)&amp;"*"),),)</f>
        <v/>
      </c>
      <c r="P608" s="299"/>
      <c r="R608" s="52"/>
    </row>
    <row r="609">
      <c r="A609" s="122">
        <v>41557.0</v>
      </c>
      <c r="B609" s="245"/>
      <c r="C609" s="332" t="s">
        <v>1437</v>
      </c>
      <c r="D609" s="55" t="s">
        <v>319</v>
      </c>
      <c r="E609" s="30">
        <v>-12.0</v>
      </c>
      <c r="F609" s="264">
        <v>185.05</v>
      </c>
      <c r="G609" s="128">
        <v>2218.6</v>
      </c>
      <c r="H609" s="318" t="str">
        <f t="shared" si="555"/>
        <v>UNIBAIL RODAMCO SE@SELL@-12@2218.6</v>
      </c>
      <c r="I609" s="138" t="str">
        <f t="shared" ref="I609:J609" si="615">IFS(AND($B609&lt;&gt;"",$E609&lt;&gt;""),IF(INDEX(N:N,MATCH($C609,$P:$P,0),1)&lt;&gt;"",$E609*INDEX(N:N,MATCH($C609,$P:$P,0),1)+$G609,""),AND($B609&lt;&gt;"",$D609="COST",$G609&lt;0),$G609,TRUE,)</f>
        <v/>
      </c>
      <c r="J609" s="138" t="str">
        <f t="shared" si="615"/>
        <v/>
      </c>
      <c r="K609" s="266" t="str">
        <f t="shared" si="3"/>
        <v>UNIBAIL RODAMCO SE</v>
      </c>
      <c r="L609" s="156">
        <f t="shared" si="4"/>
        <v>0</v>
      </c>
      <c r="M609" s="156">
        <f t="shared" si="5"/>
        <v>107.7</v>
      </c>
      <c r="N609" s="155" t="str">
        <f>IF($P609&lt;&gt;"",IF(MAXIFS(Investment!$M:$M,Investment!$H:$H,LEFT($P609,30)&amp;"*"),MAXIFS(Investment!$M:$M,Investment!$H:$H,LEFT($P609,30)&amp;"*"),),)</f>
        <v/>
      </c>
      <c r="O609" s="158" t="str">
        <f>IF($P609&lt;&gt;"",IF(MAXIFS(Investment!$AH:$AH,Investment!$H:$H,LEFT($P609,30)&amp;"*"),MAXIFS(Investment!$AH:$AH,Investment!$H:$H,LEFT($P609,30)&amp;"*"),),)</f>
        <v/>
      </c>
      <c r="P609" s="299"/>
      <c r="R609" s="52"/>
    </row>
    <row r="610">
      <c r="A610" s="122">
        <v>41537.0</v>
      </c>
      <c r="B610" s="170"/>
      <c r="C610" s="311"/>
      <c r="D610" s="55" t="s">
        <v>312</v>
      </c>
      <c r="E610" s="170"/>
      <c r="F610" s="264"/>
      <c r="G610" s="128">
        <v>16133.41</v>
      </c>
      <c r="H610" s="318" t="str">
        <f t="shared" si="555"/>
        <v>@APPROVISIONNEMENT@@16133.41</v>
      </c>
      <c r="I610" s="138" t="str">
        <f t="shared" ref="I610:J610" si="616">IFS(AND($B610&lt;&gt;"",$E610&lt;&gt;""),IF(INDEX(N:N,MATCH($C610,$P:$P,0),1)&lt;&gt;"",$E610*INDEX(N:N,MATCH($C610,$P:$P,0),1)+$G610,""),AND($B610&lt;&gt;"",$D610="COST",$G610&lt;0),$G610,TRUE,)</f>
        <v/>
      </c>
      <c r="J610" s="138" t="str">
        <f t="shared" si="616"/>
        <v/>
      </c>
      <c r="K610" s="266" t="str">
        <f t="shared" si="3"/>
        <v/>
      </c>
      <c r="L610" s="156" t="str">
        <f t="shared" si="4"/>
        <v/>
      </c>
      <c r="M610" s="156" t="str">
        <f t="shared" si="5"/>
        <v/>
      </c>
      <c r="N610" s="155" t="str">
        <f>IF($P610&lt;&gt;"",IF(MAXIFS(Investment!$M:$M,Investment!$H:$H,LEFT($P610,30)&amp;"*"),MAXIFS(Investment!$M:$M,Investment!$H:$H,LEFT($P610,30)&amp;"*"),),)</f>
        <v/>
      </c>
      <c r="O610" s="158" t="str">
        <f>IF($P610&lt;&gt;"",IF(MAXIFS(Investment!$AH:$AH,Investment!$H:$H,LEFT($P610,30)&amp;"*"),MAXIFS(Investment!$AH:$AH,Investment!$H:$H,LEFT($P610,30)&amp;"*"),),)</f>
        <v/>
      </c>
      <c r="P610" s="48"/>
    </row>
    <row r="611">
      <c r="A611" s="122">
        <v>41537.0</v>
      </c>
      <c r="B611" s="170"/>
      <c r="C611" s="311"/>
      <c r="D611" s="55" t="s">
        <v>312</v>
      </c>
      <c r="E611" s="170"/>
      <c r="F611" s="264"/>
      <c r="G611" s="128">
        <v>16872.9</v>
      </c>
      <c r="H611" s="318" t="str">
        <f t="shared" si="555"/>
        <v>@APPROVISIONNEMENT@@16872.9</v>
      </c>
      <c r="I611" s="138" t="str">
        <f t="shared" ref="I611:J611" si="617">IFS(AND($B611&lt;&gt;"",$E611&lt;&gt;""),IF(INDEX(N:N,MATCH($C611,$P:$P,0),1)&lt;&gt;"",$E611*INDEX(N:N,MATCH($C611,$P:$P,0),1)+$G611,""),AND($B611&lt;&gt;"",$D611="COST",$G611&lt;0),$G611,TRUE,)</f>
        <v/>
      </c>
      <c r="J611" s="138" t="str">
        <f t="shared" si="617"/>
        <v/>
      </c>
      <c r="K611" s="266" t="str">
        <f t="shared" si="3"/>
        <v/>
      </c>
      <c r="L611" s="156" t="str">
        <f t="shared" si="4"/>
        <v/>
      </c>
      <c r="M611" s="156" t="str">
        <f t="shared" si="5"/>
        <v/>
      </c>
      <c r="N611" s="155" t="str">
        <f>IF($P611&lt;&gt;"",IF(MAXIFS(Investment!$M:$M,Investment!$H:$H,LEFT($P611,30)&amp;"*"),MAXIFS(Investment!$M:$M,Investment!$H:$H,LEFT($P611,30)&amp;"*"),),)</f>
        <v/>
      </c>
      <c r="O611" s="158" t="str">
        <f>IF($P611&lt;&gt;"",IF(MAXIFS(Investment!$AH:$AH,Investment!$H:$H,LEFT($P611,30)&amp;"*"),MAXIFS(Investment!$AH:$AH,Investment!$H:$H,LEFT($P611,30)&amp;"*"),),)</f>
        <v/>
      </c>
      <c r="P611" s="48"/>
    </row>
    <row r="612">
      <c r="A612" s="122">
        <v>41512.0</v>
      </c>
      <c r="C612" s="48" t="s">
        <v>1435</v>
      </c>
      <c r="D612" s="55" t="s">
        <v>330</v>
      </c>
      <c r="E612" s="30">
        <v>32.0</v>
      </c>
      <c r="F612" s="264">
        <v>21.71</v>
      </c>
      <c r="G612" s="128">
        <v>-695.71</v>
      </c>
      <c r="H612" s="318" t="str">
        <f t="shared" si="555"/>
        <v>ANF IMMOBILIER@BUY@32@-695.71</v>
      </c>
      <c r="I612" s="138" t="str">
        <f t="shared" ref="I612:J612" si="618">IFS(AND($B612&lt;&gt;"",$E612&lt;&gt;""),IF(INDEX(N:N,MATCH($C612,$P:$P,0),1)&lt;&gt;"",$E612*INDEX(N:N,MATCH($C612,$P:$P,0),1)+$G612,""),AND($B612&lt;&gt;"",$D612="COST",$G612&lt;0),$G612,TRUE,)</f>
        <v/>
      </c>
      <c r="J612" s="138" t="str">
        <f t="shared" si="618"/>
        <v/>
      </c>
      <c r="K612" s="266" t="str">
        <f t="shared" si="3"/>
        <v>ANF IMMOBILIER</v>
      </c>
      <c r="L612" s="156">
        <f t="shared" si="4"/>
        <v>0</v>
      </c>
      <c r="M612" s="156">
        <f t="shared" si="5"/>
        <v>-5.5</v>
      </c>
      <c r="N612" s="155" t="str">
        <f>IF($P612&lt;&gt;"",IF(MAXIFS(Investment!$M:$M,Investment!$H:$H,LEFT($P612,30)&amp;"*"),MAXIFS(Investment!$M:$M,Investment!$H:$H,LEFT($P612,30)&amp;"*"),),)</f>
        <v/>
      </c>
      <c r="O612" s="158" t="str">
        <f>IF($P612&lt;&gt;"",IF(MAXIFS(Investment!$AH:$AH,Investment!$H:$H,LEFT($P612,30)&amp;"*"),MAXIFS(Investment!$AH:$AH,Investment!$H:$H,LEFT($P612,30)&amp;"*"),),)</f>
        <v/>
      </c>
      <c r="P612" s="299"/>
      <c r="R612" s="52"/>
    </row>
    <row r="613">
      <c r="A613" s="122">
        <v>41509.0</v>
      </c>
      <c r="C613" s="48" t="s">
        <v>1436</v>
      </c>
      <c r="D613" s="55" t="s">
        <v>330</v>
      </c>
      <c r="E613" s="30">
        <v>16.0</v>
      </c>
      <c r="F613" s="264">
        <v>74.62</v>
      </c>
      <c r="G613" s="128">
        <v>-1194.99</v>
      </c>
      <c r="H613" s="318" t="str">
        <f t="shared" si="555"/>
        <v>SANOFI@BUY@16@-1194.99</v>
      </c>
      <c r="I613" s="138" t="str">
        <f t="shared" ref="I613:J613" si="619">IFS(AND($B613&lt;&gt;"",$E613&lt;&gt;""),IF(INDEX(N:N,MATCH($C613,$P:$P,0),1)&lt;&gt;"",$E613*INDEX(N:N,MATCH($C613,$P:$P,0),1)+$G613,""),AND($B613&lt;&gt;"",$D613="COST",$G613&lt;0),$G613,TRUE,)</f>
        <v/>
      </c>
      <c r="J613" s="138" t="str">
        <f t="shared" si="619"/>
        <v/>
      </c>
      <c r="K613" s="266" t="str">
        <f t="shared" si="3"/>
        <v>SANOFI</v>
      </c>
      <c r="L613" s="156">
        <f t="shared" si="4"/>
        <v>0</v>
      </c>
      <c r="M613" s="156">
        <f t="shared" si="5"/>
        <v>-32.19</v>
      </c>
      <c r="N613" s="155" t="str">
        <f>IF($P613&lt;&gt;"",IF(MAXIFS(Investment!$M:$M,Investment!$H:$H,LEFT($P613,30)&amp;"*"),MAXIFS(Investment!$M:$M,Investment!$H:$H,LEFT($P613,30)&amp;"*"),),)</f>
        <v/>
      </c>
      <c r="O613" s="158" t="str">
        <f>IF($P613&lt;&gt;"",IF(MAXIFS(Investment!$AH:$AH,Investment!$H:$H,LEFT($P613,30)&amp;"*"),MAXIFS(Investment!$AH:$AH,Investment!$H:$H,LEFT($P613,30)&amp;"*"),),)</f>
        <v/>
      </c>
      <c r="P613" s="299"/>
      <c r="R613" s="52"/>
    </row>
    <row r="614">
      <c r="A614" s="122">
        <v>41509.0</v>
      </c>
      <c r="B614" s="55"/>
      <c r="C614" s="304" t="s">
        <v>1436</v>
      </c>
      <c r="D614" s="326" t="s">
        <v>378</v>
      </c>
      <c r="E614" s="30"/>
      <c r="F614" s="264"/>
      <c r="G614" s="128">
        <v>-2.39</v>
      </c>
      <c r="H614" s="318" t="str">
        <f t="shared" si="555"/>
        <v>SANOFI@COST@@-2.39</v>
      </c>
      <c r="I614" s="138" t="str">
        <f t="shared" ref="I614:J614" si="620">IFS(AND($B614&lt;&gt;"",$E614&lt;&gt;""),IF(INDEX(N:N,MATCH($C614,$P:$P,0),1)&lt;&gt;"",$E614*INDEX(N:N,MATCH($C614,$P:$P,0),1)+$G614,""),AND($B614&lt;&gt;"",$D614="COST",$G614&lt;0),$G614,TRUE,)</f>
        <v/>
      </c>
      <c r="J614" s="138" t="str">
        <f t="shared" si="620"/>
        <v/>
      </c>
      <c r="K614" s="266" t="str">
        <f t="shared" si="3"/>
        <v>SANOFI</v>
      </c>
      <c r="L614" s="156">
        <f t="shared" si="4"/>
        <v>0</v>
      </c>
      <c r="M614" s="156">
        <f t="shared" si="5"/>
        <v>-32.19</v>
      </c>
      <c r="N614" s="155" t="str">
        <f>IF($P614&lt;&gt;"",IF(MAXIFS(Investment!$M:$M,Investment!$H:$H,LEFT($P614,30)&amp;"*"),MAXIFS(Investment!$M:$M,Investment!$H:$H,LEFT($P614,30)&amp;"*"),),)</f>
        <v/>
      </c>
      <c r="O614" s="158" t="str">
        <f>IF($P614&lt;&gt;"",IF(MAXIFS(Investment!$AH:$AH,Investment!$H:$H,LEFT($P614,30)&amp;"*"),MAXIFS(Investment!$AH:$AH,Investment!$H:$H,LEFT($P614,30)&amp;"*"),),)</f>
        <v/>
      </c>
      <c r="P614" s="299"/>
      <c r="R614" s="52"/>
    </row>
    <row r="615">
      <c r="A615" s="122">
        <v>41508.0</v>
      </c>
      <c r="C615" s="48" t="s">
        <v>1437</v>
      </c>
      <c r="D615" s="55" t="s">
        <v>330</v>
      </c>
      <c r="E615" s="30">
        <v>12.0</v>
      </c>
      <c r="F615" s="264">
        <v>175.4</v>
      </c>
      <c r="G615" s="128">
        <v>-2106.69</v>
      </c>
      <c r="H615" s="318" t="str">
        <f t="shared" si="555"/>
        <v>UNIBAIL RODAMCO SE@BUY@12@-2106.69</v>
      </c>
      <c r="I615" s="138" t="str">
        <f t="shared" ref="I615:J615" si="621">IFS(AND($B615&lt;&gt;"",$E615&lt;&gt;""),IF(INDEX(N:N,MATCH($C615,$P:$P,0),1)&lt;&gt;"",$E615*INDEX(N:N,MATCH($C615,$P:$P,0),1)+$G615,""),AND($B615&lt;&gt;"",$D615="COST",$G615&lt;0),$G615,TRUE,)</f>
        <v/>
      </c>
      <c r="J615" s="138" t="str">
        <f t="shared" si="621"/>
        <v/>
      </c>
      <c r="K615" s="266" t="str">
        <f t="shared" si="3"/>
        <v>UNIBAIL RODAMCO SE</v>
      </c>
      <c r="L615" s="156">
        <f t="shared" si="4"/>
        <v>0</v>
      </c>
      <c r="M615" s="156">
        <f t="shared" si="5"/>
        <v>107.7</v>
      </c>
      <c r="N615" s="155" t="str">
        <f>IF($P615&lt;&gt;"",IF(MAXIFS(Investment!$M:$M,Investment!$H:$H,LEFT($P615,30)&amp;"*"),MAXIFS(Investment!$M:$M,Investment!$H:$H,LEFT($P615,30)&amp;"*"),),)</f>
        <v/>
      </c>
      <c r="O615" s="158" t="str">
        <f>IF($P615&lt;&gt;"",IF(MAXIFS(Investment!$AH:$AH,Investment!$H:$H,LEFT($P615,30)&amp;"*"),MAXIFS(Investment!$AH:$AH,Investment!$H:$H,LEFT($P615,30)&amp;"*"),),)</f>
        <v/>
      </c>
      <c r="P615" s="299"/>
      <c r="R615" s="52"/>
    </row>
    <row r="616">
      <c r="A616" s="122">
        <v>41508.0</v>
      </c>
      <c r="B616" s="55"/>
      <c r="C616" s="304" t="s">
        <v>1437</v>
      </c>
      <c r="D616" s="326" t="s">
        <v>378</v>
      </c>
      <c r="E616" s="30"/>
      <c r="F616" s="264"/>
      <c r="G616" s="128">
        <v>-4.21</v>
      </c>
      <c r="H616" s="318" t="str">
        <f t="shared" si="555"/>
        <v>UNIBAIL RODAMCO SE@COST@@-4.21</v>
      </c>
      <c r="I616" s="138" t="str">
        <f t="shared" ref="I616:J616" si="622">IFS(AND($B616&lt;&gt;"",$E616&lt;&gt;""),IF(INDEX(N:N,MATCH($C616,$P:$P,0),1)&lt;&gt;"",$E616*INDEX(N:N,MATCH($C616,$P:$P,0),1)+$G616,""),AND($B616&lt;&gt;"",$D616="COST",$G616&lt;0),$G616,TRUE,)</f>
        <v/>
      </c>
      <c r="J616" s="138" t="str">
        <f t="shared" si="622"/>
        <v/>
      </c>
      <c r="K616" s="266" t="str">
        <f t="shared" si="3"/>
        <v>UNIBAIL RODAMCO SE</v>
      </c>
      <c r="L616" s="156">
        <f t="shared" si="4"/>
        <v>0</v>
      </c>
      <c r="M616" s="156">
        <f t="shared" si="5"/>
        <v>107.7</v>
      </c>
      <c r="N616" s="155" t="str">
        <f>IF($P616&lt;&gt;"",IF(MAXIFS(Investment!$M:$M,Investment!$H:$H,LEFT($P616,30)&amp;"*"),MAXIFS(Investment!$M:$M,Investment!$H:$H,LEFT($P616,30)&amp;"*"),),)</f>
        <v/>
      </c>
      <c r="O616" s="158" t="str">
        <f>IF($P616&lt;&gt;"",IF(MAXIFS(Investment!$AH:$AH,Investment!$H:$H,LEFT($P616,30)&amp;"*"),MAXIFS(Investment!$AH:$AH,Investment!$H:$H,LEFT($P616,30)&amp;"*"),),)</f>
        <v/>
      </c>
      <c r="P616" s="299"/>
      <c r="R616" s="52"/>
    </row>
    <row r="617">
      <c r="A617" s="122">
        <v>41508.0</v>
      </c>
      <c r="C617" s="48" t="s">
        <v>1438</v>
      </c>
      <c r="D617" s="55" t="s">
        <v>319</v>
      </c>
      <c r="E617" s="30">
        <v>-135.0</v>
      </c>
      <c r="F617" s="264">
        <v>7.8</v>
      </c>
      <c r="G617" s="128">
        <v>1052.01</v>
      </c>
      <c r="H617" s="318" t="str">
        <f t="shared" si="555"/>
        <v>ORANGE@SELL@-135@1052.01</v>
      </c>
      <c r="I617" s="138" t="str">
        <f t="shared" ref="I617:J617" si="623">IFS(AND($B617&lt;&gt;"",$E617&lt;&gt;""),IF(INDEX(N:N,MATCH($C617,$P:$P,0),1)&lt;&gt;"",$E617*INDEX(N:N,MATCH($C617,$P:$P,0),1)+$G617,""),AND($B617&lt;&gt;"",$D617="COST",$G617&lt;0),$G617,TRUE,)</f>
        <v/>
      </c>
      <c r="J617" s="138" t="str">
        <f t="shared" si="623"/>
        <v/>
      </c>
      <c r="K617" s="266" t="str">
        <f t="shared" si="3"/>
        <v>ORANGE</v>
      </c>
      <c r="L617" s="156">
        <f t="shared" si="4"/>
        <v>0</v>
      </c>
      <c r="M617" s="156">
        <f t="shared" si="5"/>
        <v>-68.12</v>
      </c>
      <c r="N617" s="155" t="str">
        <f>IF($P617&lt;&gt;"",IF(MAXIFS(Investment!$M:$M,Investment!$H:$H,LEFT($P617,30)&amp;"*"),MAXIFS(Investment!$M:$M,Investment!$H:$H,LEFT($P617,30)&amp;"*"),),)</f>
        <v/>
      </c>
      <c r="O617" s="158" t="str">
        <f>IF($P617&lt;&gt;"",IF(MAXIFS(Investment!$AH:$AH,Investment!$H:$H,LEFT($P617,30)&amp;"*"),MAXIFS(Investment!$AH:$AH,Investment!$H:$H,LEFT($P617,30)&amp;"*"),),)</f>
        <v/>
      </c>
      <c r="P617" s="299"/>
      <c r="R617" s="52"/>
    </row>
    <row r="618">
      <c r="A618" s="122">
        <v>41508.0</v>
      </c>
      <c r="C618" s="48" t="s">
        <v>1439</v>
      </c>
      <c r="D618" s="55" t="s">
        <v>319</v>
      </c>
      <c r="E618" s="30">
        <v>-95.0</v>
      </c>
      <c r="F618" s="264">
        <v>16.74</v>
      </c>
      <c r="G618" s="128">
        <v>1588.87</v>
      </c>
      <c r="H618" s="318" t="str">
        <f t="shared" si="555"/>
        <v>GDF SUEZ@SELL@-95@1588.87</v>
      </c>
      <c r="I618" s="138" t="str">
        <f t="shared" ref="I618:J618" si="624">IFS(AND($B618&lt;&gt;"",$E618&lt;&gt;""),IF(INDEX(N:N,MATCH($C618,$P:$P,0),1)&lt;&gt;"",$E618*INDEX(N:N,MATCH($C618,$P:$P,0),1)+$G618,""),AND($B618&lt;&gt;"",$D618="COST",$G618&lt;0),$G618,TRUE,)</f>
        <v/>
      </c>
      <c r="J618" s="138" t="str">
        <f t="shared" si="624"/>
        <v/>
      </c>
      <c r="K618" s="266" t="str">
        <f t="shared" si="3"/>
        <v>GDF SUEZ</v>
      </c>
      <c r="L618" s="156">
        <f t="shared" si="4"/>
        <v>0</v>
      </c>
      <c r="M618" s="156">
        <f t="shared" si="5"/>
        <v>123.37</v>
      </c>
      <c r="N618" s="155" t="str">
        <f>IF($P618&lt;&gt;"",IF(MAXIFS(Investment!$M:$M,Investment!$H:$H,LEFT($P618,30)&amp;"*"),MAXIFS(Investment!$M:$M,Investment!$H:$H,LEFT($P618,30)&amp;"*"),),)</f>
        <v/>
      </c>
      <c r="O618" s="158" t="str">
        <f>IF($P618&lt;&gt;"",IF(MAXIFS(Investment!$AH:$AH,Investment!$H:$H,LEFT($P618,30)&amp;"*"),MAXIFS(Investment!$AH:$AH,Investment!$H:$H,LEFT($P618,30)&amp;"*"),),)</f>
        <v/>
      </c>
      <c r="P618" s="299"/>
      <c r="R618" s="52"/>
    </row>
    <row r="619">
      <c r="A619" s="122">
        <v>41506.0</v>
      </c>
      <c r="C619" s="48" t="s">
        <v>1440</v>
      </c>
      <c r="D619" s="55" t="s">
        <v>319</v>
      </c>
      <c r="E619" s="30">
        <v>-355.0</v>
      </c>
      <c r="F619" s="264">
        <v>5.07</v>
      </c>
      <c r="G619" s="128">
        <v>1798.23</v>
      </c>
      <c r="H619" s="318" t="str">
        <f t="shared" si="555"/>
        <v>ABC ARBITRAGE@SELL@-355@1798.23</v>
      </c>
      <c r="I619" s="138" t="str">
        <f t="shared" ref="I619:J619" si="625">IFS(AND($B619&lt;&gt;"",$E619&lt;&gt;""),IF(INDEX(N:N,MATCH($C619,$P:$P,0),1)&lt;&gt;"",$E619*INDEX(N:N,MATCH($C619,$P:$P,0),1)+$G619,""),AND($B619&lt;&gt;"",$D619="COST",$G619&lt;0),$G619,TRUE,)</f>
        <v/>
      </c>
      <c r="J619" s="138" t="str">
        <f t="shared" si="625"/>
        <v/>
      </c>
      <c r="K619" s="266" t="str">
        <f t="shared" si="3"/>
        <v>ABC ARBITRAGE</v>
      </c>
      <c r="L619" s="156">
        <f t="shared" si="4"/>
        <v>0</v>
      </c>
      <c r="M619" s="156">
        <f t="shared" si="5"/>
        <v>217.06</v>
      </c>
      <c r="N619" s="155" t="str">
        <f>IF($P619&lt;&gt;"",IF(MAXIFS(Investment!$M:$M,Investment!$H:$H,LEFT($P619,30)&amp;"*"),MAXIFS(Investment!$M:$M,Investment!$H:$H,LEFT($P619,30)&amp;"*"),),)</f>
        <v/>
      </c>
      <c r="O619" s="158" t="str">
        <f>IF($P619&lt;&gt;"",IF(MAXIFS(Investment!$AH:$AH,Investment!$H:$H,LEFT($P619,30)&amp;"*"),MAXIFS(Investment!$AH:$AH,Investment!$H:$H,LEFT($P619,30)&amp;"*"),),)</f>
        <v/>
      </c>
      <c r="P619" s="299"/>
      <c r="R619" s="52"/>
    </row>
    <row r="620">
      <c r="A620" s="122">
        <v>41491.0</v>
      </c>
      <c r="C620" s="304" t="s">
        <v>1441</v>
      </c>
      <c r="D620" s="55" t="s">
        <v>319</v>
      </c>
      <c r="E620" s="30">
        <v>-30.0</v>
      </c>
      <c r="F620" s="264">
        <v>40.655</v>
      </c>
      <c r="G620" s="128">
        <v>1218.55</v>
      </c>
      <c r="H620" s="318" t="str">
        <f t="shared" si="555"/>
        <v>TOTAL SA@SELL@-30@1218.55</v>
      </c>
      <c r="I620" s="138" t="str">
        <f t="shared" ref="I620:J620" si="626">IFS(AND($B620&lt;&gt;"",$E620&lt;&gt;""),IF(INDEX(N:N,MATCH($C620,$P:$P,0),1)&lt;&gt;"",$E620*INDEX(N:N,MATCH($C620,$P:$P,0),1)+$G620,""),AND($B620&lt;&gt;"",$D620="COST",$G620&lt;0),$G620,TRUE,)</f>
        <v/>
      </c>
      <c r="J620" s="138" t="str">
        <f t="shared" si="626"/>
        <v/>
      </c>
      <c r="K620" s="266" t="str">
        <f t="shared" si="3"/>
        <v>TOTAL SA</v>
      </c>
      <c r="L620" s="156">
        <f t="shared" si="4"/>
        <v>0</v>
      </c>
      <c r="M620" s="156">
        <f t="shared" si="5"/>
        <v>137.91</v>
      </c>
      <c r="N620" s="155" t="str">
        <f>IF($P620&lt;&gt;"",IF(MAXIFS(Investment!$M:$M,Investment!$H:$H,LEFT($P620,30)&amp;"*"),MAXIFS(Investment!$M:$M,Investment!$H:$H,LEFT($P620,30)&amp;"*"),),)</f>
        <v/>
      </c>
      <c r="O620" s="158" t="str">
        <f>IF($P620&lt;&gt;"",IF(MAXIFS(Investment!$AH:$AH,Investment!$H:$H,LEFT($P620,30)&amp;"*"),MAXIFS(Investment!$AH:$AH,Investment!$H:$H,LEFT($P620,30)&amp;"*"),),)</f>
        <v/>
      </c>
      <c r="P620" s="299"/>
      <c r="R620" s="52"/>
    </row>
    <row r="621">
      <c r="A621" s="122">
        <v>41466.0</v>
      </c>
      <c r="C621" s="48" t="s">
        <v>1440</v>
      </c>
      <c r="D621" s="55" t="s">
        <v>330</v>
      </c>
      <c r="E621" s="30">
        <v>355.0</v>
      </c>
      <c r="F621" s="264">
        <v>4.45</v>
      </c>
      <c r="G621" s="128">
        <v>-1581.17</v>
      </c>
      <c r="H621" s="318" t="str">
        <f t="shared" si="555"/>
        <v>ABC ARBITRAGE@BUY@355@-1581.17</v>
      </c>
      <c r="I621" s="138" t="str">
        <f t="shared" ref="I621:J621" si="627">IFS(AND($B621&lt;&gt;"",$E621&lt;&gt;""),IF(INDEX(N:N,MATCH($C621,$P:$P,0),1)&lt;&gt;"",$E621*INDEX(N:N,MATCH($C621,$P:$P,0),1)+$G621,""),AND($B621&lt;&gt;"",$D621="COST",$G621&lt;0),$G621,TRUE,)</f>
        <v/>
      </c>
      <c r="J621" s="138" t="str">
        <f t="shared" si="627"/>
        <v/>
      </c>
      <c r="K621" s="266" t="str">
        <f t="shared" si="3"/>
        <v>ABC ARBITRAGE</v>
      </c>
      <c r="L621" s="156">
        <f t="shared" si="4"/>
        <v>0</v>
      </c>
      <c r="M621" s="156">
        <f t="shared" si="5"/>
        <v>217.06</v>
      </c>
      <c r="N621" s="155" t="str">
        <f>IF($P621&lt;&gt;"",IF(MAXIFS(Investment!$M:$M,Investment!$H:$H,LEFT($P621,30)&amp;"*"),MAXIFS(Investment!$M:$M,Investment!$H:$H,LEFT($P621,30)&amp;"*"),),)</f>
        <v/>
      </c>
      <c r="O621" s="158" t="str">
        <f>IF($P621&lt;&gt;"",IF(MAXIFS(Investment!$AH:$AH,Investment!$H:$H,LEFT($P621,30)&amp;"*"),MAXIFS(Investment!$AH:$AH,Investment!$H:$H,LEFT($P621,30)&amp;"*"),),)</f>
        <v/>
      </c>
      <c r="P621" s="299"/>
      <c r="R621" s="52"/>
    </row>
    <row r="622">
      <c r="A622" s="122">
        <v>41466.0</v>
      </c>
      <c r="C622" s="48" t="s">
        <v>1430</v>
      </c>
      <c r="D622" s="55" t="s">
        <v>319</v>
      </c>
      <c r="E622" s="30">
        <v>-75.0</v>
      </c>
      <c r="F622" s="264">
        <v>19.625</v>
      </c>
      <c r="G622" s="128">
        <v>1470.56</v>
      </c>
      <c r="H622" s="318" t="str">
        <f t="shared" si="555"/>
        <v>EDF@SELL@-75@1470.56</v>
      </c>
      <c r="I622" s="138" t="str">
        <f t="shared" ref="I622:J622" si="628">IFS(AND($B622&lt;&gt;"",$E622&lt;&gt;""),IF(INDEX(N:N,MATCH($C622,$P:$P,0),1)&lt;&gt;"",$E622*INDEX(N:N,MATCH($C622,$P:$P,0),1)+$G622,""),AND($B622&lt;&gt;"",$D622="COST",$G622&lt;0),$G622,TRUE,)</f>
        <v/>
      </c>
      <c r="J622" s="138" t="str">
        <f t="shared" si="628"/>
        <v/>
      </c>
      <c r="K622" s="266" t="str">
        <f t="shared" si="3"/>
        <v>EDF</v>
      </c>
      <c r="L622" s="156">
        <f t="shared" si="4"/>
        <v>0</v>
      </c>
      <c r="M622" s="156">
        <f t="shared" si="5"/>
        <v>1451.96</v>
      </c>
      <c r="N622" s="155" t="str">
        <f>IF($P622&lt;&gt;"",IF(MAXIFS(Investment!$M:$M,Investment!$H:$H,LEFT($P622,30)&amp;"*"),MAXIFS(Investment!$M:$M,Investment!$H:$H,LEFT($P622,30)&amp;"*"),),)</f>
        <v/>
      </c>
      <c r="O622" s="158" t="str">
        <f>IF($P622&lt;&gt;"",IF(MAXIFS(Investment!$AH:$AH,Investment!$H:$H,LEFT($P622,30)&amp;"*"),MAXIFS(Investment!$AH:$AH,Investment!$H:$H,LEFT($P622,30)&amp;"*"),),)</f>
        <v/>
      </c>
      <c r="P622" s="299"/>
      <c r="R622" s="52"/>
    </row>
    <row r="623">
      <c r="A623" s="122">
        <v>41464.0</v>
      </c>
      <c r="C623" s="48" t="s">
        <v>1430</v>
      </c>
      <c r="D623" s="55" t="s">
        <v>272</v>
      </c>
      <c r="E623" s="30"/>
      <c r="F623" s="264"/>
      <c r="G623" s="128">
        <v>27.67</v>
      </c>
      <c r="H623" s="318" t="str">
        <f t="shared" si="555"/>
        <v>EDF@DIVIDEND@@27.67</v>
      </c>
      <c r="I623" s="138" t="str">
        <f t="shared" ref="I623:J623" si="629">IFS(AND($B623&lt;&gt;"",$E623&lt;&gt;""),IF(INDEX(N:N,MATCH($C623,$P:$P,0),1)&lt;&gt;"",$E623*INDEX(N:N,MATCH($C623,$P:$P,0),1)+$G623,""),AND($B623&lt;&gt;"",$D623="COST",$G623&lt;0),$G623,TRUE,)</f>
        <v/>
      </c>
      <c r="J623" s="138" t="str">
        <f t="shared" si="629"/>
        <v/>
      </c>
      <c r="K623" s="266" t="str">
        <f t="shared" si="3"/>
        <v>EDF</v>
      </c>
      <c r="L623" s="156">
        <f t="shared" si="4"/>
        <v>0</v>
      </c>
      <c r="M623" s="156">
        <f t="shared" si="5"/>
        <v>1451.96</v>
      </c>
      <c r="N623" s="155" t="str">
        <f>IF($P623&lt;&gt;"",IF(MAXIFS(Investment!$M:$M,Investment!$H:$H,LEFT($P623,30)&amp;"*"),MAXIFS(Investment!$M:$M,Investment!$H:$H,LEFT($P623,30)&amp;"*"),),)</f>
        <v/>
      </c>
      <c r="O623" s="158" t="str">
        <f>IF($P623&lt;&gt;"",IF(MAXIFS(Investment!$AH:$AH,Investment!$H:$H,LEFT($P623,30)&amp;"*"),MAXIFS(Investment!$AH:$AH,Investment!$H:$H,LEFT($P623,30)&amp;"*"),),)</f>
        <v/>
      </c>
      <c r="P623" s="299"/>
      <c r="R623" s="52"/>
    </row>
    <row r="624">
      <c r="A624" s="122">
        <v>41464.0</v>
      </c>
      <c r="C624" s="48" t="s">
        <v>1430</v>
      </c>
      <c r="D624" s="55" t="s">
        <v>272</v>
      </c>
      <c r="E624" s="30"/>
      <c r="F624" s="264"/>
      <c r="G624" s="128">
        <v>4.8</v>
      </c>
      <c r="H624" s="318" t="str">
        <f t="shared" si="555"/>
        <v>EDF@DIVIDEND@@4.8</v>
      </c>
      <c r="I624" s="138" t="str">
        <f t="shared" ref="I624:J624" si="630">IFS(AND($B624&lt;&gt;"",$E624&lt;&gt;""),IF(INDEX(N:N,MATCH($C624,$P:$P,0),1)&lt;&gt;"",$E624*INDEX(N:N,MATCH($C624,$P:$P,0),1)+$G624,""),AND($B624&lt;&gt;"",$D624="COST",$G624&lt;0),$G624,TRUE,)</f>
        <v/>
      </c>
      <c r="J624" s="138" t="str">
        <f t="shared" si="630"/>
        <v/>
      </c>
      <c r="K624" s="266" t="str">
        <f t="shared" si="3"/>
        <v>EDF</v>
      </c>
      <c r="L624" s="156">
        <f t="shared" si="4"/>
        <v>0</v>
      </c>
      <c r="M624" s="156">
        <f t="shared" si="5"/>
        <v>1451.96</v>
      </c>
      <c r="N624" s="155" t="str">
        <f>IF($P624&lt;&gt;"",IF(MAXIFS(Investment!$M:$M,Investment!$H:$H,LEFT($P624,30)&amp;"*"),MAXIFS(Investment!$M:$M,Investment!$H:$H,LEFT($P624,30)&amp;"*"),),)</f>
        <v/>
      </c>
      <c r="O624" s="158" t="str">
        <f>IF($P624&lt;&gt;"",IF(MAXIFS(Investment!$AH:$AH,Investment!$H:$H,LEFT($P624,30)&amp;"*"),MAXIFS(Investment!$AH:$AH,Investment!$H:$H,LEFT($P624,30)&amp;"*"),),)</f>
        <v/>
      </c>
      <c r="P624" s="299"/>
      <c r="R624" s="52"/>
    </row>
    <row r="625">
      <c r="A625" s="122">
        <v>41452.0</v>
      </c>
      <c r="C625" s="304" t="s">
        <v>1441</v>
      </c>
      <c r="D625" s="55" t="s">
        <v>272</v>
      </c>
      <c r="E625" s="30"/>
      <c r="F625" s="264"/>
      <c r="G625" s="128">
        <v>11.29</v>
      </c>
      <c r="H625" s="318" t="str">
        <f t="shared" si="555"/>
        <v>TOTAL SA@DIVIDEND@@11.29</v>
      </c>
      <c r="I625" s="138" t="str">
        <f t="shared" ref="I625:J625" si="631">IFS(AND($B625&lt;&gt;"",$E625&lt;&gt;""),IF(INDEX(N:N,MATCH($C625,$P:$P,0),1)&lt;&gt;"",$E625*INDEX(N:N,MATCH($C625,$P:$P,0),1)+$G625,""),AND($B625&lt;&gt;"",$D625="COST",$G625&lt;0),$G625,TRUE,)</f>
        <v/>
      </c>
      <c r="J625" s="138" t="str">
        <f t="shared" si="631"/>
        <v/>
      </c>
      <c r="K625" s="266" t="str">
        <f t="shared" si="3"/>
        <v>TOTAL SA</v>
      </c>
      <c r="L625" s="156">
        <f t="shared" si="4"/>
        <v>0</v>
      </c>
      <c r="M625" s="156">
        <f t="shared" si="5"/>
        <v>137.91</v>
      </c>
      <c r="N625" s="155" t="str">
        <f>IF($P625&lt;&gt;"",IF(MAXIFS(Investment!$M:$M,Investment!$H:$H,LEFT($P625,30)&amp;"*"),MAXIFS(Investment!$M:$M,Investment!$H:$H,LEFT($P625,30)&amp;"*"),),)</f>
        <v/>
      </c>
      <c r="O625" s="158" t="str">
        <f>IF($P625&lt;&gt;"",IF(MAXIFS(Investment!$AH:$AH,Investment!$H:$H,LEFT($P625,30)&amp;"*"),MAXIFS(Investment!$AH:$AH,Investment!$H:$H,LEFT($P625,30)&amp;"*"),),)</f>
        <v/>
      </c>
      <c r="P625" s="299"/>
      <c r="R625" s="52"/>
    </row>
    <row r="626">
      <c r="A626" s="122">
        <v>41436.0</v>
      </c>
      <c r="B626" s="55"/>
      <c r="C626" s="304" t="s">
        <v>1438</v>
      </c>
      <c r="D626" s="55" t="s">
        <v>272</v>
      </c>
      <c r="E626" s="30"/>
      <c r="F626" s="264"/>
      <c r="G626" s="128">
        <v>17.19</v>
      </c>
      <c r="H626" s="318" t="str">
        <f t="shared" si="555"/>
        <v>ORANGE@DIVIDEND@@17.19</v>
      </c>
      <c r="I626" s="138" t="str">
        <f t="shared" ref="I626:J626" si="632">IFS(AND($B626&lt;&gt;"",$E626&lt;&gt;""),IF(INDEX(N:N,MATCH($C626,$P:$P,0),1)&lt;&gt;"",$E626*INDEX(N:N,MATCH($C626,$P:$P,0),1)+$G626,""),AND($B626&lt;&gt;"",$D626="COST",$G626&lt;0),$G626,TRUE,)</f>
        <v/>
      </c>
      <c r="J626" s="138" t="str">
        <f t="shared" si="632"/>
        <v/>
      </c>
      <c r="K626" s="266" t="str">
        <f t="shared" si="3"/>
        <v>ORANGE</v>
      </c>
      <c r="L626" s="156">
        <f t="shared" si="4"/>
        <v>0</v>
      </c>
      <c r="M626" s="156">
        <f t="shared" si="5"/>
        <v>-68.12</v>
      </c>
      <c r="N626" s="155" t="str">
        <f>IF($P626&lt;&gt;"",IF(MAXIFS(Investment!$M:$M,Investment!$H:$H,LEFT($P626,30)&amp;"*"),MAXIFS(Investment!$M:$M,Investment!$H:$H,LEFT($P626,30)&amp;"*"),),)</f>
        <v/>
      </c>
      <c r="O626" s="158" t="str">
        <f>IF($P626&lt;&gt;"",IF(MAXIFS(Investment!$AH:$AH,Investment!$H:$H,LEFT($P626,30)&amp;"*"),MAXIFS(Investment!$AH:$AH,Investment!$H:$H,LEFT($P626,30)&amp;"*"),),)</f>
        <v/>
      </c>
      <c r="P626" s="299"/>
      <c r="R626" s="52"/>
    </row>
    <row r="627">
      <c r="A627" s="122">
        <v>41394.0</v>
      </c>
      <c r="C627" s="48" t="s">
        <v>1439</v>
      </c>
      <c r="D627" s="55" t="s">
        <v>272</v>
      </c>
      <c r="E627" s="30"/>
      <c r="F627" s="264"/>
      <c r="G627" s="128">
        <v>40.46</v>
      </c>
      <c r="H627" s="318" t="str">
        <f t="shared" si="555"/>
        <v>GDF SUEZ@DIVIDEND@@40.46</v>
      </c>
      <c r="I627" s="138" t="str">
        <f t="shared" ref="I627:J627" si="633">IFS(AND($B627&lt;&gt;"",$E627&lt;&gt;""),IF(INDEX(N:N,MATCH($C627,$P:$P,0),1)&lt;&gt;"",$E627*INDEX(N:N,MATCH($C627,$P:$P,0),1)+$G627,""),AND($B627&lt;&gt;"",$D627="COST",$G627&lt;0),$G627,TRUE,)</f>
        <v/>
      </c>
      <c r="J627" s="138" t="str">
        <f t="shared" si="633"/>
        <v/>
      </c>
      <c r="K627" s="266" t="str">
        <f t="shared" si="3"/>
        <v>GDF SUEZ</v>
      </c>
      <c r="L627" s="156">
        <f t="shared" si="4"/>
        <v>0</v>
      </c>
      <c r="M627" s="156">
        <f t="shared" si="5"/>
        <v>123.37</v>
      </c>
      <c r="N627" s="155" t="str">
        <f>IF($P627&lt;&gt;"",IF(MAXIFS(Investment!$M:$M,Investment!$H:$H,LEFT($P627,30)&amp;"*"),MAXIFS(Investment!$M:$M,Investment!$H:$H,LEFT($P627,30)&amp;"*"),),)</f>
        <v/>
      </c>
      <c r="O627" s="158" t="str">
        <f>IF($P627&lt;&gt;"",IF(MAXIFS(Investment!$AH:$AH,Investment!$H:$H,LEFT($P627,30)&amp;"*"),MAXIFS(Investment!$AH:$AH,Investment!$H:$H,LEFT($P627,30)&amp;"*"),),)</f>
        <v/>
      </c>
      <c r="P627" s="299"/>
      <c r="R627" s="52"/>
    </row>
    <row r="628">
      <c r="A628" s="122">
        <v>41355.0</v>
      </c>
      <c r="C628" s="304" t="s">
        <v>1441</v>
      </c>
      <c r="D628" s="55" t="s">
        <v>330</v>
      </c>
      <c r="E628" s="30">
        <v>30.0</v>
      </c>
      <c r="F628" s="264">
        <v>38.33</v>
      </c>
      <c r="G628" s="128">
        <v>-1150.93</v>
      </c>
      <c r="H628" s="318" t="str">
        <f t="shared" si="555"/>
        <v>TOTAL SA@BUY@30@-1150.93</v>
      </c>
      <c r="I628" s="138" t="str">
        <f t="shared" ref="I628:J628" si="634">IFS(AND($B628&lt;&gt;"",$E628&lt;&gt;""),IF(INDEX(N:N,MATCH($C628,$P:$P,0),1)&lt;&gt;"",$E628*INDEX(N:N,MATCH($C628,$P:$P,0),1)+$G628,""),AND($B628&lt;&gt;"",$D628="COST",$G628&lt;0),$G628,TRUE,)</f>
        <v/>
      </c>
      <c r="J628" s="138" t="str">
        <f t="shared" si="634"/>
        <v/>
      </c>
      <c r="K628" s="266" t="str">
        <f t="shared" si="3"/>
        <v>TOTAL SA</v>
      </c>
      <c r="L628" s="156">
        <f t="shared" si="4"/>
        <v>0</v>
      </c>
      <c r="M628" s="156">
        <f t="shared" si="5"/>
        <v>137.91</v>
      </c>
      <c r="N628" s="155" t="str">
        <f>IF($P628&lt;&gt;"",IF(MAXIFS(Investment!$M:$M,Investment!$H:$H,LEFT($P628,30)&amp;"*"),MAXIFS(Investment!$M:$M,Investment!$H:$H,LEFT($P628,30)&amp;"*"),),)</f>
        <v/>
      </c>
      <c r="O628" s="158" t="str">
        <f>IF($P628&lt;&gt;"",IF(MAXIFS(Investment!$AH:$AH,Investment!$H:$H,LEFT($P628,30)&amp;"*"),MAXIFS(Investment!$AH:$AH,Investment!$H:$H,LEFT($P628,30)&amp;"*"),),)</f>
        <v/>
      </c>
      <c r="P628" s="299"/>
      <c r="R628" s="52"/>
    </row>
    <row r="629">
      <c r="A629" s="122">
        <v>41355.0</v>
      </c>
      <c r="B629" s="55"/>
      <c r="C629" s="304" t="s">
        <v>1438</v>
      </c>
      <c r="D629" s="55" t="s">
        <v>330</v>
      </c>
      <c r="E629" s="30">
        <v>135.0</v>
      </c>
      <c r="F629" s="264">
        <v>8.42</v>
      </c>
      <c r="G629" s="128">
        <v>-1137.32</v>
      </c>
      <c r="H629" s="318" t="str">
        <f t="shared" si="555"/>
        <v>ORANGE@BUY@135@-1137.32</v>
      </c>
      <c r="I629" s="138" t="str">
        <f t="shared" ref="I629:J629" si="635">IFS(AND($B629&lt;&gt;"",$E629&lt;&gt;""),IF(INDEX(N:N,MATCH($C629,$P:$P,0),1)&lt;&gt;"",$E629*INDEX(N:N,MATCH($C629,$P:$P,0),1)+$G629,""),AND($B629&lt;&gt;"",$D629="COST",$G629&lt;0),$G629,TRUE,)</f>
        <v/>
      </c>
      <c r="J629" s="138" t="str">
        <f t="shared" si="635"/>
        <v/>
      </c>
      <c r="K629" s="266" t="str">
        <f t="shared" si="3"/>
        <v>ORANGE</v>
      </c>
      <c r="L629" s="156">
        <f t="shared" si="4"/>
        <v>0</v>
      </c>
      <c r="M629" s="156">
        <f t="shared" si="5"/>
        <v>-68.12</v>
      </c>
      <c r="N629" s="155" t="str">
        <f>IF($P629&lt;&gt;"",IF(MAXIFS(Investment!$M:$M,Investment!$H:$H,LEFT($P629,30)&amp;"*"),MAXIFS(Investment!$M:$M,Investment!$H:$H,LEFT($P629,30)&amp;"*"),),)</f>
        <v/>
      </c>
      <c r="O629" s="158" t="str">
        <f>IF($P629&lt;&gt;"",IF(MAXIFS(Investment!$AH:$AH,Investment!$H:$H,LEFT($P629,30)&amp;"*"),MAXIFS(Investment!$AH:$AH,Investment!$H:$H,LEFT($P629,30)&amp;"*"),),)</f>
        <v/>
      </c>
      <c r="P629" s="299"/>
      <c r="R629" s="52"/>
    </row>
    <row r="630">
      <c r="A630" s="122">
        <v>41355.0</v>
      </c>
      <c r="C630" s="48" t="s">
        <v>1439</v>
      </c>
      <c r="D630" s="55" t="s">
        <v>330</v>
      </c>
      <c r="E630" s="30">
        <v>95.0</v>
      </c>
      <c r="F630" s="264">
        <v>15.4</v>
      </c>
      <c r="G630" s="128">
        <v>-1464.32</v>
      </c>
      <c r="H630" s="318" t="str">
        <f t="shared" si="555"/>
        <v>GDF SUEZ@BUY@95@-1464.32</v>
      </c>
      <c r="I630" s="138" t="str">
        <f t="shared" ref="I630:J630" si="636">IFS(AND($B630&lt;&gt;"",$E630&lt;&gt;""),IF(INDEX(N:N,MATCH($C630,$P:$P,0),1)&lt;&gt;"",$E630*INDEX(N:N,MATCH($C630,$P:$P,0),1)+$G630,""),AND($B630&lt;&gt;"",$D630="COST",$G630&lt;0),$G630,TRUE,)</f>
        <v/>
      </c>
      <c r="J630" s="138" t="str">
        <f t="shared" si="636"/>
        <v/>
      </c>
      <c r="K630" s="266" t="str">
        <f t="shared" si="3"/>
        <v>GDF SUEZ</v>
      </c>
      <c r="L630" s="156">
        <f t="shared" si="4"/>
        <v>0</v>
      </c>
      <c r="M630" s="156">
        <f t="shared" si="5"/>
        <v>123.37</v>
      </c>
      <c r="N630" s="155" t="str">
        <f>IF($P630&lt;&gt;"",IF(MAXIFS(Investment!$M:$M,Investment!$H:$H,LEFT($P630,30)&amp;"*"),MAXIFS(Investment!$M:$M,Investment!$H:$H,LEFT($P630,30)&amp;"*"),),)</f>
        <v/>
      </c>
      <c r="O630" s="158" t="str">
        <f>IF($P630&lt;&gt;"",IF(MAXIFS(Investment!$AH:$AH,Investment!$H:$H,LEFT($P630,30)&amp;"*"),MAXIFS(Investment!$AH:$AH,Investment!$H:$H,LEFT($P630,30)&amp;"*"),),)</f>
        <v/>
      </c>
      <c r="P630" s="299"/>
      <c r="R630" s="52"/>
    </row>
    <row r="631">
      <c r="A631" s="122">
        <v>41355.0</v>
      </c>
      <c r="C631" s="48" t="s">
        <v>1430</v>
      </c>
      <c r="D631" s="55" t="s">
        <v>330</v>
      </c>
      <c r="E631" s="30">
        <v>75.0</v>
      </c>
      <c r="F631" s="264">
        <v>15.15</v>
      </c>
      <c r="G631" s="128">
        <v>-1137.27</v>
      </c>
      <c r="H631" s="318" t="str">
        <f t="shared" si="555"/>
        <v>EDF@BUY@75@-1137.27</v>
      </c>
      <c r="I631" s="138" t="str">
        <f t="shared" ref="I631:J631" si="637">IFS(AND($B631&lt;&gt;"",$E631&lt;&gt;""),IF(INDEX(N:N,MATCH($C631,$P:$P,0),1)&lt;&gt;"",$E631*INDEX(N:N,MATCH($C631,$P:$P,0),1)+$G631,""),AND($B631&lt;&gt;"",$D631="COST",$G631&lt;0),$G631,TRUE,)</f>
        <v/>
      </c>
      <c r="J631" s="138" t="str">
        <f t="shared" si="637"/>
        <v/>
      </c>
      <c r="K631" s="266" t="str">
        <f t="shared" si="3"/>
        <v>EDF</v>
      </c>
      <c r="L631" s="156">
        <f t="shared" si="4"/>
        <v>0</v>
      </c>
      <c r="M631" s="156">
        <f t="shared" si="5"/>
        <v>1451.96</v>
      </c>
      <c r="N631" s="155" t="str">
        <f>IF($P631&lt;&gt;"",IF(MAXIFS(Investment!$M:$M,Investment!$H:$H,LEFT($P631,30)&amp;"*"),MAXIFS(Investment!$M:$M,Investment!$H:$H,LEFT($P631,30)&amp;"*"),),)</f>
        <v/>
      </c>
      <c r="O631" s="158" t="str">
        <f>IF($P631&lt;&gt;"",IF(MAXIFS(Investment!$AH:$AH,Investment!$H:$H,LEFT($P631,30)&amp;"*"),MAXIFS(Investment!$AH:$AH,Investment!$H:$H,LEFT($P631,30)&amp;"*"),),)</f>
        <v/>
      </c>
      <c r="P631" s="299"/>
      <c r="R631" s="52"/>
    </row>
    <row r="632">
      <c r="A632" s="122">
        <v>41355.0</v>
      </c>
      <c r="B632" s="55"/>
      <c r="C632" s="304" t="s">
        <v>1441</v>
      </c>
      <c r="D632" s="326" t="s">
        <v>378</v>
      </c>
      <c r="E632" s="30"/>
      <c r="F632" s="264"/>
      <c r="G632" s="128">
        <v>-2.3</v>
      </c>
      <c r="H632" s="318" t="str">
        <f t="shared" si="555"/>
        <v>TOTAL SA@COST@@-2.3</v>
      </c>
      <c r="I632" s="138" t="str">
        <f t="shared" ref="I632:J632" si="638">IFS(AND($B632&lt;&gt;"",$E632&lt;&gt;""),IF(INDEX(N:N,MATCH($C632,$P:$P,0),1)&lt;&gt;"",$E632*INDEX(N:N,MATCH($C632,$P:$P,0),1)+$G632,""),AND($B632&lt;&gt;"",$D632="COST",$G632&lt;0),$G632,TRUE,)</f>
        <v/>
      </c>
      <c r="J632" s="138" t="str">
        <f t="shared" si="638"/>
        <v/>
      </c>
      <c r="K632" s="266" t="str">
        <f t="shared" si="3"/>
        <v>TOTAL SA</v>
      </c>
      <c r="L632" s="156">
        <f t="shared" si="4"/>
        <v>0</v>
      </c>
      <c r="M632" s="156">
        <f t="shared" si="5"/>
        <v>137.91</v>
      </c>
      <c r="N632" s="155" t="str">
        <f>IF($P632&lt;&gt;"",IF(MAXIFS(Investment!$M:$M,Investment!$H:$H,LEFT($P632,30)&amp;"*"),MAXIFS(Investment!$M:$M,Investment!$H:$H,LEFT($P632,30)&amp;"*"),),)</f>
        <v/>
      </c>
      <c r="O632" s="158" t="str">
        <f>IF($P632&lt;&gt;"",IF(MAXIFS(Investment!$AH:$AH,Investment!$H:$H,LEFT($P632,30)&amp;"*"),MAXIFS(Investment!$AH:$AH,Investment!$H:$H,LEFT($P632,30)&amp;"*"),),)</f>
        <v/>
      </c>
      <c r="P632" s="299"/>
      <c r="R632" s="52"/>
    </row>
    <row r="633">
      <c r="A633" s="122">
        <v>41355.0</v>
      </c>
      <c r="B633" s="55"/>
      <c r="C633" s="304" t="s">
        <v>1442</v>
      </c>
      <c r="D633" s="326" t="s">
        <v>378</v>
      </c>
      <c r="E633" s="30"/>
      <c r="F633" s="264"/>
      <c r="G633" s="128">
        <v>-2.27</v>
      </c>
      <c r="H633" s="318" t="str">
        <f t="shared" si="555"/>
        <v>FRANCE TELECOM@COST@@-2.27</v>
      </c>
      <c r="I633" s="138" t="str">
        <f t="shared" ref="I633:J633" si="639">IFS(AND($B633&lt;&gt;"",$E633&lt;&gt;""),IF(INDEX(N:N,MATCH($C633,$P:$P,0),1)&lt;&gt;"",$E633*INDEX(N:N,MATCH($C633,$P:$P,0),1)+$G633,""),AND($B633&lt;&gt;"",$D633="COST",$G633&lt;0),$G633,TRUE,)</f>
        <v/>
      </c>
      <c r="J633" s="138" t="str">
        <f t="shared" si="639"/>
        <v/>
      </c>
      <c r="K633" s="266" t="str">
        <f t="shared" si="3"/>
        <v>FRANCE TELECOM</v>
      </c>
      <c r="L633" s="156">
        <f t="shared" si="4"/>
        <v>0</v>
      </c>
      <c r="M633" s="156">
        <f t="shared" si="5"/>
        <v>1049.82</v>
      </c>
      <c r="N633" s="155" t="str">
        <f>IF($P633&lt;&gt;"",IF(MAXIFS(Investment!$M:$M,Investment!$H:$H,LEFT($P633,30)&amp;"*"),MAXIFS(Investment!$M:$M,Investment!$H:$H,LEFT($P633,30)&amp;"*"),),)</f>
        <v/>
      </c>
      <c r="O633" s="158" t="str">
        <f>IF($P633&lt;&gt;"",IF(MAXIFS(Investment!$AH:$AH,Investment!$H:$H,LEFT($P633,30)&amp;"*"),MAXIFS(Investment!$AH:$AH,Investment!$H:$H,LEFT($P633,30)&amp;"*"),),)</f>
        <v/>
      </c>
      <c r="P633" s="299"/>
      <c r="R633" s="52"/>
    </row>
    <row r="634">
      <c r="A634" s="122">
        <v>41355.0</v>
      </c>
      <c r="B634" s="55"/>
      <c r="C634" s="304" t="s">
        <v>1439</v>
      </c>
      <c r="D634" s="326" t="s">
        <v>378</v>
      </c>
      <c r="E634" s="30"/>
      <c r="F634" s="264"/>
      <c r="G634" s="128">
        <v>-2.93</v>
      </c>
      <c r="H634" s="318" t="str">
        <f t="shared" si="555"/>
        <v>GDF SUEZ@COST@@-2.93</v>
      </c>
      <c r="I634" s="138" t="str">
        <f t="shared" ref="I634:J634" si="640">IFS(AND($B634&lt;&gt;"",$E634&lt;&gt;""),IF(INDEX(N:N,MATCH($C634,$P:$P,0),1)&lt;&gt;"",$E634*INDEX(N:N,MATCH($C634,$P:$P,0),1)+$G634,""),AND($B634&lt;&gt;"",$D634="COST",$G634&lt;0),$G634,TRUE,)</f>
        <v/>
      </c>
      <c r="J634" s="138" t="str">
        <f t="shared" si="640"/>
        <v/>
      </c>
      <c r="K634" s="266" t="str">
        <f t="shared" si="3"/>
        <v>GDF SUEZ</v>
      </c>
      <c r="L634" s="156">
        <f t="shared" si="4"/>
        <v>0</v>
      </c>
      <c r="M634" s="156">
        <f t="shared" si="5"/>
        <v>123.37</v>
      </c>
      <c r="N634" s="155" t="str">
        <f>IF($P634&lt;&gt;"",IF(MAXIFS(Investment!$M:$M,Investment!$H:$H,LEFT($P634,30)&amp;"*"),MAXIFS(Investment!$M:$M,Investment!$H:$H,LEFT($P634,30)&amp;"*"),),)</f>
        <v/>
      </c>
      <c r="O634" s="158" t="str">
        <f>IF($P634&lt;&gt;"",IF(MAXIFS(Investment!$AH:$AH,Investment!$H:$H,LEFT($P634,30)&amp;"*"),MAXIFS(Investment!$AH:$AH,Investment!$H:$H,LEFT($P634,30)&amp;"*"),),)</f>
        <v/>
      </c>
      <c r="P634" s="299"/>
      <c r="R634" s="52"/>
    </row>
    <row r="635">
      <c r="A635" s="122">
        <v>41355.0</v>
      </c>
      <c r="B635" s="55"/>
      <c r="C635" s="304" t="s">
        <v>1430</v>
      </c>
      <c r="D635" s="326" t="s">
        <v>378</v>
      </c>
      <c r="E635" s="30"/>
      <c r="F635" s="264"/>
      <c r="G635" s="128">
        <v>-2.27</v>
      </c>
      <c r="H635" s="318" t="str">
        <f t="shared" si="555"/>
        <v>EDF@COST@@-2.27</v>
      </c>
      <c r="I635" s="138" t="str">
        <f t="shared" ref="I635:J635" si="641">IFS(AND($B635&lt;&gt;"",$E635&lt;&gt;""),IF(INDEX(N:N,MATCH($C635,$P:$P,0),1)&lt;&gt;"",$E635*INDEX(N:N,MATCH($C635,$P:$P,0),1)+$G635,""),AND($B635&lt;&gt;"",$D635="COST",$G635&lt;0),$G635,TRUE,)</f>
        <v/>
      </c>
      <c r="J635" s="138" t="str">
        <f t="shared" si="641"/>
        <v/>
      </c>
      <c r="K635" s="266" t="str">
        <f t="shared" si="3"/>
        <v>EDF</v>
      </c>
      <c r="L635" s="156">
        <f t="shared" si="4"/>
        <v>0</v>
      </c>
      <c r="M635" s="156">
        <f t="shared" si="5"/>
        <v>1451.96</v>
      </c>
      <c r="N635" s="155" t="str">
        <f>IF($P635&lt;&gt;"",IF(MAXIFS(Investment!$M:$M,Investment!$H:$H,LEFT($P635,30)&amp;"*"),MAXIFS(Investment!$M:$M,Investment!$H:$H,LEFT($P635,30)&amp;"*"),),)</f>
        <v/>
      </c>
      <c r="O635" s="158" t="str">
        <f>IF($P635&lt;&gt;"",IF(MAXIFS(Investment!$AH:$AH,Investment!$H:$H,LEFT($P635,30)&amp;"*"),MAXIFS(Investment!$AH:$AH,Investment!$H:$H,LEFT($P635,30)&amp;"*"),),)</f>
        <v/>
      </c>
      <c r="P635" s="299"/>
      <c r="R635" s="52"/>
    </row>
    <row r="636">
      <c r="A636" s="122">
        <v>41326.0</v>
      </c>
      <c r="B636" s="170"/>
      <c r="C636" s="311"/>
      <c r="D636" s="55" t="s">
        <v>378</v>
      </c>
      <c r="E636" s="170"/>
      <c r="F636" s="264"/>
      <c r="G636" s="128">
        <v>-6.0</v>
      </c>
      <c r="H636" s="318" t="str">
        <f t="shared" si="555"/>
        <v>@COST@@-6</v>
      </c>
      <c r="I636" s="138" t="str">
        <f t="shared" ref="I636:J636" si="642">IFS(AND($B636&lt;&gt;"",$E636&lt;&gt;""),IF(INDEX(N:N,MATCH($C636,$P:$P,0),1)&lt;&gt;"",$E636*INDEX(N:N,MATCH($C636,$P:$P,0),1)+$G636,""),AND($B636&lt;&gt;"",$D636="COST",$G636&lt;0),$G636,TRUE,)</f>
        <v/>
      </c>
      <c r="J636" s="138" t="str">
        <f t="shared" si="642"/>
        <v/>
      </c>
      <c r="K636" s="266" t="str">
        <f t="shared" si="3"/>
        <v/>
      </c>
      <c r="L636" s="156" t="str">
        <f t="shared" si="4"/>
        <v/>
      </c>
      <c r="M636" s="156" t="str">
        <f t="shared" si="5"/>
        <v/>
      </c>
      <c r="N636" s="155" t="str">
        <f>IF($P636&lt;&gt;"",IF(MAXIFS(Investment!$M:$M,Investment!$H:$H,LEFT($P636,30)&amp;"*"),MAXIFS(Investment!$M:$M,Investment!$H:$H,LEFT($P636,30)&amp;"*"),),)</f>
        <v/>
      </c>
      <c r="O636" s="158" t="str">
        <f>IF($P636&lt;&gt;"",IF(MAXIFS(Investment!$AH:$AH,Investment!$H:$H,LEFT($P636,30)&amp;"*"),MAXIFS(Investment!$AH:$AH,Investment!$H:$H,LEFT($P636,30)&amp;"*"),),)</f>
        <v/>
      </c>
      <c r="P636" s="48"/>
    </row>
    <row r="637">
      <c r="A637" s="122">
        <v>41326.0</v>
      </c>
      <c r="B637" s="170"/>
      <c r="C637" s="311"/>
      <c r="D637" s="55" t="s">
        <v>312</v>
      </c>
      <c r="E637" s="170"/>
      <c r="F637" s="264"/>
      <c r="G637" s="128">
        <v>-9872.9</v>
      </c>
      <c r="H637" s="318" t="str">
        <f t="shared" si="555"/>
        <v>@APPROVISIONNEMENT@@-9872.9</v>
      </c>
      <c r="I637" s="138" t="str">
        <f t="shared" ref="I637:J637" si="643">IFS(AND($B637&lt;&gt;"",$E637&lt;&gt;""),IF(INDEX(N:N,MATCH($C637,$P:$P,0),1)&lt;&gt;"",$E637*INDEX(N:N,MATCH($C637,$P:$P,0),1)+$G637,""),AND($B637&lt;&gt;"",$D637="COST",$G637&lt;0),$G637,TRUE,)</f>
        <v/>
      </c>
      <c r="J637" s="138" t="str">
        <f t="shared" si="643"/>
        <v/>
      </c>
      <c r="K637" s="266" t="str">
        <f t="shared" si="3"/>
        <v/>
      </c>
      <c r="L637" s="156" t="str">
        <f t="shared" si="4"/>
        <v/>
      </c>
      <c r="M637" s="156" t="str">
        <f t="shared" si="5"/>
        <v/>
      </c>
      <c r="N637" s="155" t="str">
        <f>IF($P637&lt;&gt;"",IF(MAXIFS(Investment!$M:$M,Investment!$H:$H,LEFT($P637,30)&amp;"*"),MAXIFS(Investment!$M:$M,Investment!$H:$H,LEFT($P637,30)&amp;"*"),),)</f>
        <v/>
      </c>
      <c r="O637" s="158" t="str">
        <f>IF($P637&lt;&gt;"",IF(MAXIFS(Investment!$AH:$AH,Investment!$H:$H,LEFT($P637,30)&amp;"*"),MAXIFS(Investment!$AH:$AH,Investment!$H:$H,LEFT($P637,30)&amp;"*"),),)</f>
        <v/>
      </c>
      <c r="P637" s="48"/>
    </row>
    <row r="638">
      <c r="A638" s="122">
        <v>41124.0</v>
      </c>
      <c r="C638" s="48" t="s">
        <v>1442</v>
      </c>
      <c r="D638" s="55" t="s">
        <v>319</v>
      </c>
      <c r="E638" s="30">
        <v>-455.0</v>
      </c>
      <c r="F638" s="264">
        <v>10.8</v>
      </c>
      <c r="G638" s="128">
        <v>4909.58</v>
      </c>
      <c r="H638" s="318" t="str">
        <f t="shared" si="555"/>
        <v>FRANCE TELECOM@SELL@-455@4909.58</v>
      </c>
      <c r="I638" s="138" t="str">
        <f t="shared" ref="I638:J638" si="644">IFS(AND($B638&lt;&gt;"",$E638&lt;&gt;""),IF(INDEX(N:N,MATCH($C638,$P:$P,0),1)&lt;&gt;"",$E638*INDEX(N:N,MATCH($C638,$P:$P,0),1)+$G638,""),AND($B638&lt;&gt;"",$D638="COST",$G638&lt;0),$G638,TRUE,)</f>
        <v/>
      </c>
      <c r="J638" s="138" t="str">
        <f t="shared" si="644"/>
        <v/>
      </c>
      <c r="K638" s="266" t="str">
        <f t="shared" si="3"/>
        <v>FRANCE TELECOM</v>
      </c>
      <c r="L638" s="156">
        <f t="shared" si="4"/>
        <v>0</v>
      </c>
      <c r="M638" s="156">
        <f t="shared" si="5"/>
        <v>1049.82</v>
      </c>
      <c r="N638" s="155" t="str">
        <f>IF($P638&lt;&gt;"",IF(MAXIFS(Investment!$M:$M,Investment!$H:$H,LEFT($P638,30)&amp;"*"),MAXIFS(Investment!$M:$M,Investment!$H:$H,LEFT($P638,30)&amp;"*"),),)</f>
        <v/>
      </c>
      <c r="O638" s="158" t="str">
        <f>IF($P638&lt;&gt;"",IF(MAXIFS(Investment!$AH:$AH,Investment!$H:$H,LEFT($P638,30)&amp;"*"),MAXIFS(Investment!$AH:$AH,Investment!$H:$H,LEFT($P638,30)&amp;"*"),),)</f>
        <v/>
      </c>
      <c r="P638" s="299"/>
      <c r="R638" s="52"/>
    </row>
    <row r="639">
      <c r="A639" s="122">
        <v>41122.0</v>
      </c>
      <c r="C639" s="304" t="s">
        <v>1441</v>
      </c>
      <c r="D639" s="55" t="s">
        <v>319</v>
      </c>
      <c r="E639" s="30">
        <v>-33.0</v>
      </c>
      <c r="F639" s="264">
        <v>37.93</v>
      </c>
      <c r="G639" s="128">
        <v>1250.4</v>
      </c>
      <c r="H639" s="318" t="str">
        <f t="shared" si="555"/>
        <v>TOTAL SA@SELL@-33@1250.4</v>
      </c>
      <c r="I639" s="138" t="str">
        <f t="shared" ref="I639:J639" si="645">IFS(AND($B639&lt;&gt;"",$E639&lt;&gt;""),IF(INDEX(N:N,MATCH($C639,$P:$P,0),1)&lt;&gt;"",$E639*INDEX(N:N,MATCH($C639,$P:$P,0),1)+$G639,""),AND($B639&lt;&gt;"",$D639="COST",$G639&lt;0),$G639,TRUE,)</f>
        <v/>
      </c>
      <c r="J639" s="138" t="str">
        <f t="shared" si="645"/>
        <v/>
      </c>
      <c r="K639" s="266" t="str">
        <f t="shared" si="3"/>
        <v>TOTAL SA</v>
      </c>
      <c r="L639" s="156">
        <f t="shared" si="4"/>
        <v>0</v>
      </c>
      <c r="M639" s="156">
        <f t="shared" si="5"/>
        <v>137.91</v>
      </c>
      <c r="N639" s="155" t="str">
        <f>IF($P639&lt;&gt;"",IF(MAXIFS(Investment!$M:$M,Investment!$H:$H,LEFT($P639,30)&amp;"*"),MAXIFS(Investment!$M:$M,Investment!$H:$H,LEFT($P639,30)&amp;"*"),),)</f>
        <v/>
      </c>
      <c r="O639" s="158" t="str">
        <f>IF($P639&lt;&gt;"",IF(MAXIFS(Investment!$AH:$AH,Investment!$H:$H,LEFT($P639,30)&amp;"*"),MAXIFS(Investment!$AH:$AH,Investment!$H:$H,LEFT($P639,30)&amp;"*"),),)</f>
        <v/>
      </c>
      <c r="P639" s="299"/>
      <c r="R639" s="52"/>
    </row>
    <row r="640">
      <c r="A640" s="122">
        <v>41122.0</v>
      </c>
      <c r="C640" s="48" t="s">
        <v>1431</v>
      </c>
      <c r="D640" s="55" t="s">
        <v>319</v>
      </c>
      <c r="E640" s="30">
        <v>-70.0</v>
      </c>
      <c r="F640" s="264">
        <v>20.6</v>
      </c>
      <c r="G640" s="128">
        <v>1440.7</v>
      </c>
      <c r="H640" s="318" t="str">
        <f t="shared" si="555"/>
        <v>BOUYGUES@SELL@-70@1440.7</v>
      </c>
      <c r="I640" s="138" t="str">
        <f t="shared" ref="I640:J640" si="646">IFS(AND($B640&lt;&gt;"",$E640&lt;&gt;""),IF(INDEX(N:N,MATCH($C640,$P:$P,0),1)&lt;&gt;"",$E640*INDEX(N:N,MATCH($C640,$P:$P,0),1)+$G640,""),AND($B640&lt;&gt;"",$D640="COST",$G640&lt;0),$G640,TRUE,)</f>
        <v/>
      </c>
      <c r="J640" s="138" t="str">
        <f t="shared" si="646"/>
        <v/>
      </c>
      <c r="K640" s="266" t="str">
        <f t="shared" si="3"/>
        <v>BOUYGUES</v>
      </c>
      <c r="L640" s="156">
        <f t="shared" si="4"/>
        <v>0</v>
      </c>
      <c r="M640" s="156">
        <f t="shared" si="5"/>
        <v>1091.52</v>
      </c>
      <c r="N640" s="155" t="str">
        <f>IF($P640&lt;&gt;"",IF(MAXIFS(Investment!$M:$M,Investment!$H:$H,LEFT($P640,30)&amp;"*"),MAXIFS(Investment!$M:$M,Investment!$H:$H,LEFT($P640,30)&amp;"*"),),)</f>
        <v/>
      </c>
      <c r="O640" s="158" t="str">
        <f>IF($P640&lt;&gt;"",IF(MAXIFS(Investment!$AH:$AH,Investment!$H:$H,LEFT($P640,30)&amp;"*"),MAXIFS(Investment!$AH:$AH,Investment!$H:$H,LEFT($P640,30)&amp;"*"),),)</f>
        <v/>
      </c>
      <c r="P640" s="299"/>
      <c r="R640" s="52"/>
    </row>
    <row r="641">
      <c r="A641" s="122">
        <v>41122.0</v>
      </c>
      <c r="C641" s="48" t="s">
        <v>1439</v>
      </c>
      <c r="D641" s="55" t="s">
        <v>319</v>
      </c>
      <c r="E641" s="30">
        <v>-74.0</v>
      </c>
      <c r="F641" s="264">
        <v>18.27</v>
      </c>
      <c r="G641" s="128">
        <v>1350.39</v>
      </c>
      <c r="H641" s="318" t="str">
        <f t="shared" si="555"/>
        <v>GDF SUEZ@SELL@-74@1350.39</v>
      </c>
      <c r="I641" s="138" t="str">
        <f t="shared" ref="I641:J641" si="647">IFS(AND($B641&lt;&gt;"",$E641&lt;&gt;""),IF(INDEX(N:N,MATCH($C641,$P:$P,0),1)&lt;&gt;"",$E641*INDEX(N:N,MATCH($C641,$P:$P,0),1)+$G641,""),AND($B641&lt;&gt;"",$D641="COST",$G641&lt;0),$G641,TRUE,)</f>
        <v/>
      </c>
      <c r="J641" s="138" t="str">
        <f t="shared" si="647"/>
        <v/>
      </c>
      <c r="K641" s="266" t="str">
        <f t="shared" si="3"/>
        <v>GDF SUEZ</v>
      </c>
      <c r="L641" s="156">
        <f t="shared" si="4"/>
        <v>0</v>
      </c>
      <c r="M641" s="156">
        <f t="shared" si="5"/>
        <v>123.37</v>
      </c>
      <c r="N641" s="155" t="str">
        <f>IF($P641&lt;&gt;"",IF(MAXIFS(Investment!$M:$M,Investment!$H:$H,LEFT($P641,30)&amp;"*"),MAXIFS(Investment!$M:$M,Investment!$H:$H,LEFT($P641,30)&amp;"*"),),)</f>
        <v/>
      </c>
      <c r="O641" s="158" t="str">
        <f>IF($P641&lt;&gt;"",IF(MAXIFS(Investment!$AH:$AH,Investment!$H:$H,LEFT($P641,30)&amp;"*"),MAXIFS(Investment!$AH:$AH,Investment!$H:$H,LEFT($P641,30)&amp;"*"),),)</f>
        <v/>
      </c>
      <c r="P641" s="299"/>
      <c r="R641" s="52"/>
    </row>
    <row r="642">
      <c r="A642" s="122">
        <v>41122.0</v>
      </c>
      <c r="C642" s="48" t="s">
        <v>1430</v>
      </c>
      <c r="D642" s="55" t="s">
        <v>319</v>
      </c>
      <c r="E642" s="30">
        <v>-70.0</v>
      </c>
      <c r="F642" s="264">
        <v>16.67</v>
      </c>
      <c r="G642" s="128">
        <v>1165.5</v>
      </c>
      <c r="H642" s="318" t="str">
        <f t="shared" si="555"/>
        <v>EDF@SELL@-70@1165.5</v>
      </c>
      <c r="I642" s="138" t="str">
        <f t="shared" ref="I642:J642" si="648">IFS(AND($B642&lt;&gt;"",$E642&lt;&gt;""),IF(INDEX(N:N,MATCH($C642,$P:$P,0),1)&lt;&gt;"",$E642*INDEX(N:N,MATCH($C642,$P:$P,0),1)+$G642,""),AND($B642&lt;&gt;"",$D642="COST",$G642&lt;0),$G642,TRUE,)</f>
        <v/>
      </c>
      <c r="J642" s="138" t="str">
        <f t="shared" si="648"/>
        <v/>
      </c>
      <c r="K642" s="266" t="str">
        <f t="shared" si="3"/>
        <v>EDF</v>
      </c>
      <c r="L642" s="156">
        <f t="shared" si="4"/>
        <v>0</v>
      </c>
      <c r="M642" s="156">
        <f t="shared" si="5"/>
        <v>1451.96</v>
      </c>
      <c r="N642" s="155" t="str">
        <f>IF($P642&lt;&gt;"",IF(MAXIFS(Investment!$M:$M,Investment!$H:$H,LEFT($P642,30)&amp;"*"),MAXIFS(Investment!$M:$M,Investment!$H:$H,LEFT($P642,30)&amp;"*"),),)</f>
        <v/>
      </c>
      <c r="O642" s="158" t="str">
        <f>IF($P642&lt;&gt;"",IF(MAXIFS(Investment!$AH:$AH,Investment!$H:$H,LEFT($P642,30)&amp;"*"),MAXIFS(Investment!$AH:$AH,Investment!$H:$H,LEFT($P642,30)&amp;"*"),),)</f>
        <v/>
      </c>
      <c r="P642" s="299"/>
      <c r="R642" s="52"/>
    </row>
    <row r="643">
      <c r="A643" s="122">
        <v>41100.0</v>
      </c>
      <c r="C643" s="48" t="s">
        <v>1443</v>
      </c>
      <c r="D643" s="55" t="s">
        <v>319</v>
      </c>
      <c r="E643" s="30">
        <v>-263.0</v>
      </c>
      <c r="F643" s="264">
        <v>15.08</v>
      </c>
      <c r="G643" s="128">
        <v>3962.47</v>
      </c>
      <c r="H643" s="318" t="str">
        <f t="shared" si="555"/>
        <v>VIVENDI@SELL@-263@3962.47</v>
      </c>
      <c r="I643" s="138" t="str">
        <f t="shared" ref="I643:J643" si="649">IFS(AND($B643&lt;&gt;"",$E643&lt;&gt;""),IF(INDEX(N:N,MATCH($C643,$P:$P,0),1)&lt;&gt;"",$E643*INDEX(N:N,MATCH($C643,$P:$P,0),1)+$G643,""),AND($B643&lt;&gt;"",$D643="COST",$G643&lt;0),$G643,TRUE,)</f>
        <v/>
      </c>
      <c r="J643" s="138" t="str">
        <f t="shared" si="649"/>
        <v/>
      </c>
      <c r="K643" s="266" t="str">
        <f t="shared" si="3"/>
        <v>VIVENDI</v>
      </c>
      <c r="L643" s="156">
        <f t="shared" si="4"/>
        <v>0</v>
      </c>
      <c r="M643" s="156">
        <f t="shared" si="5"/>
        <v>460.31</v>
      </c>
      <c r="N643" s="155" t="str">
        <f>IF($P643&lt;&gt;"",IF(MAXIFS(Investment!$M:$M,Investment!$H:$H,LEFT($P643,30)&amp;"*"),MAXIFS(Investment!$M:$M,Investment!$H:$H,LEFT($P643,30)&amp;"*"),),)</f>
        <v/>
      </c>
      <c r="O643" s="158" t="str">
        <f>IF($P643&lt;&gt;"",IF(MAXIFS(Investment!$AH:$AH,Investment!$H:$H,LEFT($P643,30)&amp;"*"),MAXIFS(Investment!$AH:$AH,Investment!$H:$H,LEFT($P643,30)&amp;"*"),),)</f>
        <v/>
      </c>
      <c r="P643" s="299"/>
      <c r="R643" s="52"/>
    </row>
    <row r="644">
      <c r="A644" s="122">
        <v>41081.0</v>
      </c>
      <c r="C644" s="304" t="s">
        <v>1441</v>
      </c>
      <c r="D644" s="55" t="s">
        <v>272</v>
      </c>
      <c r="E644" s="30"/>
      <c r="F644" s="264"/>
      <c r="G644" s="128">
        <v>16.32</v>
      </c>
      <c r="H644" s="318" t="str">
        <f t="shared" si="555"/>
        <v>TOTAL SA@DIVIDEND@@16.32</v>
      </c>
      <c r="I644" s="138" t="str">
        <f t="shared" ref="I644:J644" si="650">IFS(AND($B644&lt;&gt;"",$E644&lt;&gt;""),IF(INDEX(N:N,MATCH($C644,$P:$P,0),1)&lt;&gt;"",$E644*INDEX(N:N,MATCH($C644,$P:$P,0),1)+$G644,""),AND($B644&lt;&gt;"",$D644="COST",$G644&lt;0),$G644,TRUE,)</f>
        <v/>
      </c>
      <c r="J644" s="138" t="str">
        <f t="shared" si="650"/>
        <v/>
      </c>
      <c r="K644" s="266" t="str">
        <f t="shared" si="3"/>
        <v>TOTAL SA</v>
      </c>
      <c r="L644" s="156">
        <f t="shared" si="4"/>
        <v>0</v>
      </c>
      <c r="M644" s="156">
        <f t="shared" si="5"/>
        <v>137.91</v>
      </c>
      <c r="N644" s="155" t="str">
        <f>IF($P644&lt;&gt;"",IF(MAXIFS(Investment!$M:$M,Investment!$H:$H,LEFT($P644,30)&amp;"*"),MAXIFS(Investment!$M:$M,Investment!$H:$H,LEFT($P644,30)&amp;"*"),),)</f>
        <v/>
      </c>
      <c r="O644" s="158" t="str">
        <f>IF($P644&lt;&gt;"",IF(MAXIFS(Investment!$AH:$AH,Investment!$H:$H,LEFT($P644,30)&amp;"*"),MAXIFS(Investment!$AH:$AH,Investment!$H:$H,LEFT($P644,30)&amp;"*"),),)</f>
        <v/>
      </c>
      <c r="P644" s="299"/>
      <c r="R644" s="52"/>
    </row>
    <row r="645">
      <c r="A645" s="122">
        <v>41073.0</v>
      </c>
      <c r="B645" s="55"/>
      <c r="C645" s="304" t="s">
        <v>1442</v>
      </c>
      <c r="D645" s="55" t="s">
        <v>272</v>
      </c>
      <c r="E645" s="30"/>
      <c r="F645" s="264"/>
      <c r="G645" s="128">
        <v>314.9</v>
      </c>
      <c r="H645" s="318" t="str">
        <f t="shared" si="555"/>
        <v>FRANCE TELECOM@DIVIDEND@@314.9</v>
      </c>
      <c r="I645" s="138" t="str">
        <f t="shared" ref="I645:J645" si="651">IFS(AND($B645&lt;&gt;"",$E645&lt;&gt;""),IF(INDEX(N:N,MATCH($C645,$P:$P,0),1)&lt;&gt;"",$E645*INDEX(N:N,MATCH($C645,$P:$P,0),1)+$G645,""),AND($B645&lt;&gt;"",$D645="COST",$G645&lt;0),$G645,TRUE,)</f>
        <v/>
      </c>
      <c r="J645" s="138" t="str">
        <f t="shared" si="651"/>
        <v/>
      </c>
      <c r="K645" s="266" t="str">
        <f t="shared" si="3"/>
        <v>FRANCE TELECOM</v>
      </c>
      <c r="L645" s="156">
        <f t="shared" si="4"/>
        <v>0</v>
      </c>
      <c r="M645" s="156">
        <f t="shared" si="5"/>
        <v>1049.82</v>
      </c>
      <c r="N645" s="155" t="str">
        <f>IF($P645&lt;&gt;"",IF(MAXIFS(Investment!$M:$M,Investment!$H:$H,LEFT($P645,30)&amp;"*"),MAXIFS(Investment!$M:$M,Investment!$H:$H,LEFT($P645,30)&amp;"*"),),)</f>
        <v/>
      </c>
      <c r="O645" s="158" t="str">
        <f>IF($P645&lt;&gt;"",IF(MAXIFS(Investment!$AH:$AH,Investment!$H:$H,LEFT($P645,30)&amp;"*"),MAXIFS(Investment!$AH:$AH,Investment!$H:$H,LEFT($P645,30)&amp;"*"),),)</f>
        <v/>
      </c>
      <c r="P645" s="299"/>
      <c r="R645" s="52"/>
    </row>
    <row r="646">
      <c r="A646" s="122">
        <v>41066.0</v>
      </c>
      <c r="B646" s="55"/>
      <c r="C646" s="304" t="s">
        <v>1430</v>
      </c>
      <c r="D646" s="55" t="s">
        <v>272</v>
      </c>
      <c r="E646" s="30"/>
      <c r="F646" s="264"/>
      <c r="G646" s="128">
        <v>35.14</v>
      </c>
      <c r="H646" s="318" t="str">
        <f t="shared" si="555"/>
        <v>EDF@DIVIDEND@@35.14</v>
      </c>
      <c r="I646" s="138" t="str">
        <f t="shared" ref="I646:J646" si="652">IFS(AND($B646&lt;&gt;"",$E646&lt;&gt;""),IF(INDEX(N:N,MATCH($C646,$P:$P,0),1)&lt;&gt;"",$E646*INDEX(N:N,MATCH($C646,$P:$P,0),1)+$G646,""),AND($B646&lt;&gt;"",$D646="COST",$G646&lt;0),$G646,TRUE,)</f>
        <v/>
      </c>
      <c r="J646" s="138" t="str">
        <f t="shared" si="652"/>
        <v/>
      </c>
      <c r="K646" s="266" t="str">
        <f t="shared" si="3"/>
        <v>EDF</v>
      </c>
      <c r="L646" s="156">
        <f t="shared" si="4"/>
        <v>0</v>
      </c>
      <c r="M646" s="156">
        <f t="shared" si="5"/>
        <v>1451.96</v>
      </c>
      <c r="N646" s="155" t="str">
        <f>IF($P646&lt;&gt;"",IF(MAXIFS(Investment!$M:$M,Investment!$H:$H,LEFT($P646,30)&amp;"*"),MAXIFS(Investment!$M:$M,Investment!$H:$H,LEFT($P646,30)&amp;"*"),),)</f>
        <v/>
      </c>
      <c r="O646" s="158" t="str">
        <f>IF($P646&lt;&gt;"",IF(MAXIFS(Investment!$AH:$AH,Investment!$H:$H,LEFT($P646,30)&amp;"*"),MAXIFS(Investment!$AH:$AH,Investment!$H:$H,LEFT($P646,30)&amp;"*"),),)</f>
        <v/>
      </c>
      <c r="P646" s="299"/>
      <c r="R646" s="52"/>
    </row>
    <row r="647">
      <c r="A647" s="122">
        <v>41061.0</v>
      </c>
      <c r="B647" s="55"/>
      <c r="C647" s="304" t="s">
        <v>1443</v>
      </c>
      <c r="D647" s="55" t="s">
        <v>272</v>
      </c>
      <c r="E647" s="30"/>
      <c r="F647" s="264"/>
      <c r="G647" s="128">
        <v>6.5</v>
      </c>
      <c r="H647" s="318" t="str">
        <f t="shared" si="555"/>
        <v>VIVENDI@DIVIDEND@@6.5</v>
      </c>
      <c r="I647" s="138" t="str">
        <f t="shared" ref="I647:J647" si="653">IFS(AND($B647&lt;&gt;"",$E647&lt;&gt;""),IF(INDEX(N:N,MATCH($C647,$P:$P,0),1)&lt;&gt;"",$E647*INDEX(N:N,MATCH($C647,$P:$P,0),1)+$G647,""),AND($B647&lt;&gt;"",$D647="COST",$G647&lt;0),$G647,TRUE,)</f>
        <v/>
      </c>
      <c r="J647" s="138" t="str">
        <f t="shared" si="653"/>
        <v/>
      </c>
      <c r="K647" s="266" t="str">
        <f t="shared" si="3"/>
        <v>VIVENDI</v>
      </c>
      <c r="L647" s="156">
        <f t="shared" si="4"/>
        <v>0</v>
      </c>
      <c r="M647" s="156">
        <f t="shared" si="5"/>
        <v>460.31</v>
      </c>
      <c r="N647" s="155" t="str">
        <f>IF($P647&lt;&gt;"",IF(MAXIFS(Investment!$M:$M,Investment!$H:$H,LEFT($P647,30)&amp;"*"),MAXIFS(Investment!$M:$M,Investment!$H:$H,LEFT($P647,30)&amp;"*"),),)</f>
        <v/>
      </c>
      <c r="O647" s="158" t="str">
        <f>IF($P647&lt;&gt;"",IF(MAXIFS(Investment!$AH:$AH,Investment!$H:$H,LEFT($P647,30)&amp;"*"),MAXIFS(Investment!$AH:$AH,Investment!$H:$H,LEFT($P647,30)&amp;"*"),),)</f>
        <v/>
      </c>
      <c r="P647" s="299"/>
      <c r="R647" s="52"/>
    </row>
    <row r="648">
      <c r="A648" s="122">
        <v>41061.0</v>
      </c>
      <c r="B648" s="55"/>
      <c r="C648" s="304" t="s">
        <v>1443</v>
      </c>
      <c r="D648" s="55" t="s">
        <v>272</v>
      </c>
      <c r="E648" s="30">
        <v>-15.0</v>
      </c>
      <c r="F648" s="264">
        <v>0.0</v>
      </c>
      <c r="G648" s="128">
        <v>0.0</v>
      </c>
      <c r="H648" s="318" t="str">
        <f t="shared" si="555"/>
        <v>VIVENDI@DIVIDEND@-15@0</v>
      </c>
      <c r="I648" s="138" t="str">
        <f t="shared" ref="I648:J648" si="654">IFS(AND($B648&lt;&gt;"",$E648&lt;&gt;""),IF(INDEX(N:N,MATCH($C648,$P:$P,0),1)&lt;&gt;"",$E648*INDEX(N:N,MATCH($C648,$P:$P,0),1)+$G648,""),AND($B648&lt;&gt;"",$D648="COST",$G648&lt;0),$G648,TRUE,)</f>
        <v/>
      </c>
      <c r="J648" s="138" t="str">
        <f t="shared" si="654"/>
        <v/>
      </c>
      <c r="K648" s="266" t="str">
        <f t="shared" si="3"/>
        <v>VIVENDI</v>
      </c>
      <c r="L648" s="156">
        <f t="shared" si="4"/>
        <v>0</v>
      </c>
      <c r="M648" s="156">
        <f t="shared" si="5"/>
        <v>460.31</v>
      </c>
      <c r="N648" s="155" t="str">
        <f>IF($P648&lt;&gt;"",IF(MAXIFS(Investment!$M:$M,Investment!$H:$H,LEFT($P648,30)&amp;"*"),MAXIFS(Investment!$M:$M,Investment!$H:$H,LEFT($P648,30)&amp;"*"),),)</f>
        <v/>
      </c>
      <c r="O648" s="158" t="str">
        <f>IF($P648&lt;&gt;"",IF(MAXIFS(Investment!$AH:$AH,Investment!$H:$H,LEFT($P648,30)&amp;"*"),MAXIFS(Investment!$AH:$AH,Investment!$H:$H,LEFT($P648,30)&amp;"*"),),)</f>
        <v/>
      </c>
      <c r="P648" s="299"/>
      <c r="R648" s="52"/>
    </row>
    <row r="649">
      <c r="A649" s="122">
        <v>41053.0</v>
      </c>
      <c r="C649" s="48" t="s">
        <v>1439</v>
      </c>
      <c r="D649" s="55" t="s">
        <v>272</v>
      </c>
      <c r="E649" s="30"/>
      <c r="F649" s="264"/>
      <c r="G649" s="128">
        <v>41.75</v>
      </c>
      <c r="H649" s="318" t="str">
        <f t="shared" si="555"/>
        <v>GDF SUEZ@DIVIDEND@@41.75</v>
      </c>
      <c r="I649" s="138" t="str">
        <f t="shared" ref="I649:J649" si="655">IFS(AND($B649&lt;&gt;"",$E649&lt;&gt;""),IF(INDEX(N:N,MATCH($C649,$P:$P,0),1)&lt;&gt;"",$E649*INDEX(N:N,MATCH($C649,$P:$P,0),1)+$G649,""),AND($B649&lt;&gt;"",$D649="COST",$G649&lt;0),$G649,TRUE,)</f>
        <v/>
      </c>
      <c r="J649" s="138" t="str">
        <f t="shared" si="655"/>
        <v/>
      </c>
      <c r="K649" s="266" t="str">
        <f t="shared" si="3"/>
        <v>GDF SUEZ</v>
      </c>
      <c r="L649" s="156">
        <f t="shared" si="4"/>
        <v>0</v>
      </c>
      <c r="M649" s="156">
        <f t="shared" si="5"/>
        <v>123.37</v>
      </c>
      <c r="N649" s="155" t="str">
        <f>IF($P649&lt;&gt;"",IF(MAXIFS(Investment!$M:$M,Investment!$H:$H,LEFT($P649,30)&amp;"*"),MAXIFS(Investment!$M:$M,Investment!$H:$H,LEFT($P649,30)&amp;"*"),),)</f>
        <v/>
      </c>
      <c r="O649" s="158" t="str">
        <f>IF($P649&lt;&gt;"",IF(MAXIFS(Investment!$AH:$AH,Investment!$H:$H,LEFT($P649,30)&amp;"*"),MAXIFS(Investment!$AH:$AH,Investment!$H:$H,LEFT($P649,30)&amp;"*"),),)</f>
        <v/>
      </c>
      <c r="P649" s="299"/>
      <c r="R649" s="52"/>
    </row>
    <row r="650">
      <c r="A650" s="122">
        <v>41050.0</v>
      </c>
      <c r="B650" s="55"/>
      <c r="C650" s="304" t="s">
        <v>1443</v>
      </c>
      <c r="D650" s="55" t="s">
        <v>272</v>
      </c>
      <c r="E650" s="30">
        <v>8.0</v>
      </c>
      <c r="F650" s="264">
        <v>13.2</v>
      </c>
      <c r="G650" s="128">
        <v>0.0</v>
      </c>
      <c r="H650" s="318" t="str">
        <f t="shared" si="555"/>
        <v>VIVENDI@DIVIDEND@8@0</v>
      </c>
      <c r="I650" s="138" t="str">
        <f t="shared" ref="I650:J650" si="656">IFS(AND($B650&lt;&gt;"",$E650&lt;&gt;""),IF(INDEX(N:N,MATCH($C650,$P:$P,0),1)&lt;&gt;"",$E650*INDEX(N:N,MATCH($C650,$P:$P,0),1)+$G650,""),AND($B650&lt;&gt;"",$D650="COST",$G650&lt;0),$G650,TRUE,)</f>
        <v/>
      </c>
      <c r="J650" s="138" t="str">
        <f t="shared" si="656"/>
        <v/>
      </c>
      <c r="K650" s="266" t="str">
        <f t="shared" si="3"/>
        <v>VIVENDI</v>
      </c>
      <c r="L650" s="156">
        <f t="shared" si="4"/>
        <v>0</v>
      </c>
      <c r="M650" s="156">
        <f t="shared" si="5"/>
        <v>460.31</v>
      </c>
      <c r="N650" s="155" t="str">
        <f>IF($P650&lt;&gt;"",IF(MAXIFS(Investment!$M:$M,Investment!$H:$H,LEFT($P650,30)&amp;"*"),MAXIFS(Investment!$M:$M,Investment!$H:$H,LEFT($P650,30)&amp;"*"),),)</f>
        <v/>
      </c>
      <c r="O650" s="158" t="str">
        <f>IF($P650&lt;&gt;"",IF(MAXIFS(Investment!$AH:$AH,Investment!$H:$H,LEFT($P650,30)&amp;"*"),MAXIFS(Investment!$AH:$AH,Investment!$H:$H,LEFT($P650,30)&amp;"*"),),)</f>
        <v/>
      </c>
      <c r="P650" s="299"/>
      <c r="R650" s="52"/>
    </row>
    <row r="651">
      <c r="A651" s="122">
        <v>41050.0</v>
      </c>
      <c r="B651" s="55"/>
      <c r="C651" s="304" t="s">
        <v>1443</v>
      </c>
      <c r="D651" s="55" t="s">
        <v>272</v>
      </c>
      <c r="E651" s="30">
        <v>-240.0</v>
      </c>
      <c r="F651" s="264">
        <v>0.0</v>
      </c>
      <c r="G651" s="128">
        <v>0.0</v>
      </c>
      <c r="H651" s="318" t="str">
        <f t="shared" si="555"/>
        <v>VIVENDI@DIVIDEND@-240@0</v>
      </c>
      <c r="I651" s="138" t="str">
        <f t="shared" ref="I651:J651" si="657">IFS(AND($B651&lt;&gt;"",$E651&lt;&gt;""),IF(INDEX(N:N,MATCH($C651,$P:$P,0),1)&lt;&gt;"",$E651*INDEX(N:N,MATCH($C651,$P:$P,0),1)+$G651,""),AND($B651&lt;&gt;"",$D651="COST",$G651&lt;0),$G651,TRUE,)</f>
        <v/>
      </c>
      <c r="J651" s="138" t="str">
        <f t="shared" si="657"/>
        <v/>
      </c>
      <c r="K651" s="266" t="str">
        <f t="shared" si="3"/>
        <v>VIVENDI</v>
      </c>
      <c r="L651" s="156">
        <f t="shared" si="4"/>
        <v>0</v>
      </c>
      <c r="M651" s="156">
        <f t="shared" si="5"/>
        <v>460.31</v>
      </c>
      <c r="N651" s="155" t="str">
        <f>IF($P651&lt;&gt;"",IF(MAXIFS(Investment!$M:$M,Investment!$H:$H,LEFT($P651,30)&amp;"*"),MAXIFS(Investment!$M:$M,Investment!$H:$H,LEFT($P651,30)&amp;"*"),),)</f>
        <v/>
      </c>
      <c r="O651" s="158" t="str">
        <f>IF($P651&lt;&gt;"",IF(MAXIFS(Investment!$AH:$AH,Investment!$H:$H,LEFT($P651,30)&amp;"*"),MAXIFS(Investment!$AH:$AH,Investment!$H:$H,LEFT($P651,30)&amp;"*"),),)</f>
        <v/>
      </c>
      <c r="P651" s="299"/>
      <c r="R651" s="52"/>
    </row>
    <row r="652">
      <c r="A652" s="122">
        <v>41038.0</v>
      </c>
      <c r="C652" s="48" t="s">
        <v>1443</v>
      </c>
      <c r="D652" s="55" t="s">
        <v>272</v>
      </c>
      <c r="E652" s="30"/>
      <c r="F652" s="264"/>
      <c r="G652" s="128">
        <v>220.61</v>
      </c>
      <c r="H652" s="318" t="str">
        <f t="shared" si="555"/>
        <v>VIVENDI@DIVIDEND@@220.61</v>
      </c>
      <c r="I652" s="138" t="str">
        <f t="shared" ref="I652:J652" si="658">IFS(AND($B652&lt;&gt;"",$E652&lt;&gt;""),IF(INDEX(N:N,MATCH($C652,$P:$P,0),1)&lt;&gt;"",$E652*INDEX(N:N,MATCH($C652,$P:$P,0),1)+$G652,""),AND($B652&lt;&gt;"",$D652="COST",$G652&lt;0),$G652,TRUE,)</f>
        <v/>
      </c>
      <c r="J652" s="138" t="str">
        <f t="shared" si="658"/>
        <v/>
      </c>
      <c r="K652" s="266" t="str">
        <f t="shared" si="3"/>
        <v>VIVENDI</v>
      </c>
      <c r="L652" s="156">
        <f t="shared" si="4"/>
        <v>0</v>
      </c>
      <c r="M652" s="156">
        <f t="shared" si="5"/>
        <v>460.31</v>
      </c>
      <c r="N652" s="155" t="str">
        <f>IF($P652&lt;&gt;"",IF(MAXIFS(Investment!$M:$M,Investment!$H:$H,LEFT($P652,30)&amp;"*"),MAXIFS(Investment!$M:$M,Investment!$H:$H,LEFT($P652,30)&amp;"*"),),)</f>
        <v/>
      </c>
      <c r="O652" s="158" t="str">
        <f>IF($P652&lt;&gt;"",IF(MAXIFS(Investment!$AH:$AH,Investment!$H:$H,LEFT($P652,30)&amp;"*"),MAXIFS(Investment!$AH:$AH,Investment!$H:$H,LEFT($P652,30)&amp;"*"),),)</f>
        <v/>
      </c>
      <c r="P652" s="299"/>
      <c r="R652" s="52"/>
    </row>
    <row r="653">
      <c r="A653" s="122">
        <v>41038.0</v>
      </c>
      <c r="B653" s="55"/>
      <c r="C653" s="304" t="s">
        <v>1443</v>
      </c>
      <c r="D653" s="55" t="s">
        <v>272</v>
      </c>
      <c r="E653" s="30">
        <v>255.0</v>
      </c>
      <c r="F653" s="264">
        <v>0.0</v>
      </c>
      <c r="G653" s="128">
        <v>0.0</v>
      </c>
      <c r="H653" s="318" t="str">
        <f t="shared" si="555"/>
        <v>VIVENDI@DIVIDEND@255@0</v>
      </c>
      <c r="I653" s="138" t="str">
        <f t="shared" ref="I653:J653" si="659">IFS(AND($B653&lt;&gt;"",$E653&lt;&gt;""),IF(INDEX(N:N,MATCH($C653,$P:$P,0),1)&lt;&gt;"",$E653*INDEX(N:N,MATCH($C653,$P:$P,0),1)+$G653,""),AND($B653&lt;&gt;"",$D653="COST",$G653&lt;0),$G653,TRUE,)</f>
        <v/>
      </c>
      <c r="J653" s="138" t="str">
        <f t="shared" si="659"/>
        <v/>
      </c>
      <c r="K653" s="266" t="str">
        <f t="shared" si="3"/>
        <v>VIVENDI</v>
      </c>
      <c r="L653" s="156">
        <f t="shared" si="4"/>
        <v>0</v>
      </c>
      <c r="M653" s="156">
        <f t="shared" si="5"/>
        <v>460.31</v>
      </c>
      <c r="N653" s="155" t="str">
        <f>IF($P653&lt;&gt;"",IF(MAXIFS(Investment!$M:$M,Investment!$H:$H,LEFT($P653,30)&amp;"*"),MAXIFS(Investment!$M:$M,Investment!$H:$H,LEFT($P653,30)&amp;"*"),),)</f>
        <v/>
      </c>
      <c r="O653" s="158" t="str">
        <f>IF($P653&lt;&gt;"",IF(MAXIFS(Investment!$AH:$AH,Investment!$H:$H,LEFT($P653,30)&amp;"*"),MAXIFS(Investment!$AH:$AH,Investment!$H:$H,LEFT($P653,30)&amp;"*"),),)</f>
        <v/>
      </c>
      <c r="P653" s="299"/>
      <c r="R653" s="52"/>
    </row>
    <row r="654">
      <c r="A654" s="122">
        <v>41033.0</v>
      </c>
      <c r="C654" s="48" t="s">
        <v>1431</v>
      </c>
      <c r="D654" s="55" t="s">
        <v>272</v>
      </c>
      <c r="E654" s="30"/>
      <c r="F654" s="264"/>
      <c r="G654" s="128">
        <v>96.91</v>
      </c>
      <c r="H654" s="318" t="str">
        <f t="shared" si="555"/>
        <v>BOUYGUES@DIVIDEND@@96.91</v>
      </c>
      <c r="I654" s="138" t="str">
        <f t="shared" ref="I654:J654" si="660">IFS(AND($B654&lt;&gt;"",$E654&lt;&gt;""),IF(INDEX(N:N,MATCH($C654,$P:$P,0),1)&lt;&gt;"",$E654*INDEX(N:N,MATCH($C654,$P:$P,0),1)+$G654,""),AND($B654&lt;&gt;"",$D654="COST",$G654&lt;0),$G654,TRUE,)</f>
        <v/>
      </c>
      <c r="J654" s="138" t="str">
        <f t="shared" si="660"/>
        <v/>
      </c>
      <c r="K654" s="266" t="str">
        <f t="shared" si="3"/>
        <v>BOUYGUES</v>
      </c>
      <c r="L654" s="156">
        <f t="shared" si="4"/>
        <v>0</v>
      </c>
      <c r="M654" s="156">
        <f t="shared" si="5"/>
        <v>1091.52</v>
      </c>
      <c r="N654" s="155" t="str">
        <f>IF($P654&lt;&gt;"",IF(MAXIFS(Investment!$M:$M,Investment!$H:$H,LEFT($P654,30)&amp;"*"),MAXIFS(Investment!$M:$M,Investment!$H:$H,LEFT($P654,30)&amp;"*"),),)</f>
        <v/>
      </c>
      <c r="O654" s="158" t="str">
        <f>IF($P654&lt;&gt;"",IF(MAXIFS(Investment!$AH:$AH,Investment!$H:$H,LEFT($P654,30)&amp;"*"),MAXIFS(Investment!$AH:$AH,Investment!$H:$H,LEFT($P654,30)&amp;"*"),),)</f>
        <v/>
      </c>
      <c r="P654" s="299"/>
      <c r="R654" s="52"/>
    </row>
    <row r="655">
      <c r="A655" s="122">
        <v>41025.0</v>
      </c>
      <c r="C655" s="304" t="s">
        <v>1441</v>
      </c>
      <c r="D655" s="55" t="s">
        <v>330</v>
      </c>
      <c r="E655" s="30">
        <v>33.0</v>
      </c>
      <c r="F655" s="264">
        <v>36.5</v>
      </c>
      <c r="G655" s="128">
        <v>-1205.42</v>
      </c>
      <c r="H655" s="318" t="str">
        <f t="shared" si="555"/>
        <v>TOTAL SA@BUY@33@-1205.42</v>
      </c>
      <c r="I655" s="138" t="str">
        <f t="shared" ref="I655:J655" si="661">IFS(AND($B655&lt;&gt;"",$E655&lt;&gt;""),IF(INDEX(N:N,MATCH($C655,$P:$P,0),1)&lt;&gt;"",$E655*INDEX(N:N,MATCH($C655,$P:$P,0),1)+$G655,""),AND($B655&lt;&gt;"",$D655="COST",$G655&lt;0),$G655,TRUE,)</f>
        <v/>
      </c>
      <c r="J655" s="138" t="str">
        <f t="shared" si="661"/>
        <v/>
      </c>
      <c r="K655" s="266" t="str">
        <f t="shared" si="3"/>
        <v>TOTAL SA</v>
      </c>
      <c r="L655" s="156">
        <f t="shared" si="4"/>
        <v>0</v>
      </c>
      <c r="M655" s="156">
        <f t="shared" si="5"/>
        <v>137.91</v>
      </c>
      <c r="N655" s="155" t="str">
        <f>IF($P655&lt;&gt;"",IF(MAXIFS(Investment!$M:$M,Investment!$H:$H,LEFT($P655,30)&amp;"*"),MAXIFS(Investment!$M:$M,Investment!$H:$H,LEFT($P655,30)&amp;"*"),),)</f>
        <v/>
      </c>
      <c r="O655" s="158" t="str">
        <f>IF($P655&lt;&gt;"",IF(MAXIFS(Investment!$AH:$AH,Investment!$H:$H,LEFT($P655,30)&amp;"*"),MAXIFS(Investment!$AH:$AH,Investment!$H:$H,LEFT($P655,30)&amp;"*"),),)</f>
        <v/>
      </c>
      <c r="P655" s="318"/>
      <c r="R655" s="253"/>
    </row>
    <row r="656">
      <c r="A656" s="122">
        <v>41025.0</v>
      </c>
      <c r="C656" s="48" t="s">
        <v>1444</v>
      </c>
      <c r="D656" s="55" t="s">
        <v>319</v>
      </c>
      <c r="E656" s="30">
        <v>-135.0</v>
      </c>
      <c r="F656" s="264">
        <v>9.03</v>
      </c>
      <c r="G656" s="128">
        <v>1218.49</v>
      </c>
      <c r="H656" s="318" t="str">
        <f t="shared" si="555"/>
        <v>PEUGEOT@SELL@-135@1218.49</v>
      </c>
      <c r="I656" s="138" t="str">
        <f t="shared" ref="I656:J656" si="662">IFS(AND($B656&lt;&gt;"",$E656&lt;&gt;""),IF(INDEX(N:N,MATCH($C656,$P:$P,0),1)&lt;&gt;"",$E656*INDEX(N:N,MATCH($C656,$P:$P,0),1)+$G656,""),AND($B656&lt;&gt;"",$D656="COST",$G656&lt;0),$G656,TRUE,)</f>
        <v/>
      </c>
      <c r="J656" s="138" t="str">
        <f t="shared" si="662"/>
        <v/>
      </c>
      <c r="K656" s="266" t="str">
        <f t="shared" si="3"/>
        <v>PEUGEOT</v>
      </c>
      <c r="L656" s="156">
        <f t="shared" si="4"/>
        <v>0</v>
      </c>
      <c r="M656" s="156">
        <f t="shared" si="5"/>
        <v>-532.01</v>
      </c>
      <c r="N656" s="155" t="str">
        <f>IF($P656&lt;&gt;"",IF(MAXIFS(Investment!$M:$M,Investment!$H:$H,LEFT($P656,30)&amp;"*"),MAXIFS(Investment!$M:$M,Investment!$H:$H,LEFT($P656,30)&amp;"*"),),)</f>
        <v/>
      </c>
      <c r="O656" s="158" t="str">
        <f>IF($P656&lt;&gt;"",IF(MAXIFS(Investment!$AH:$AH,Investment!$H:$H,LEFT($P656,30)&amp;"*"),MAXIFS(Investment!$AH:$AH,Investment!$H:$H,LEFT($P656,30)&amp;"*"),),)</f>
        <v/>
      </c>
      <c r="P656" s="299"/>
      <c r="R656" s="52"/>
    </row>
    <row r="657">
      <c r="A657" s="122">
        <v>41024.0</v>
      </c>
      <c r="B657" s="55"/>
      <c r="C657" s="304" t="s">
        <v>1439</v>
      </c>
      <c r="D657" s="326" t="s">
        <v>272</v>
      </c>
      <c r="E657" s="30">
        <v>2.0</v>
      </c>
      <c r="F657" s="264">
        <v>16.43</v>
      </c>
      <c r="G657" s="128">
        <v>0.0</v>
      </c>
      <c r="H657" s="318" t="str">
        <f t="shared" si="555"/>
        <v>GDF SUEZ@DIVIDEND@2@0</v>
      </c>
      <c r="I657" s="138" t="str">
        <f t="shared" ref="I657:J657" si="663">IFS(AND($B657&lt;&gt;"",$E657&lt;&gt;""),IF(INDEX(N:N,MATCH($C657,$P:$P,0),1)&lt;&gt;"",$E657*INDEX(N:N,MATCH($C657,$P:$P,0),1)+$G657,""),AND($B657&lt;&gt;"",$D657="COST",$G657&lt;0),$G657,TRUE,)</f>
        <v/>
      </c>
      <c r="J657" s="138" t="str">
        <f t="shared" si="663"/>
        <v/>
      </c>
      <c r="K657" s="266" t="str">
        <f t="shared" si="3"/>
        <v>GDF SUEZ</v>
      </c>
      <c r="L657" s="156">
        <f t="shared" si="4"/>
        <v>0</v>
      </c>
      <c r="M657" s="156">
        <f t="shared" si="5"/>
        <v>123.37</v>
      </c>
      <c r="N657" s="155" t="str">
        <f>IF($P657&lt;&gt;"",IF(MAXIFS(Investment!$M:$M,Investment!$H:$H,LEFT($P657,30)&amp;"*"),MAXIFS(Investment!$M:$M,Investment!$H:$H,LEFT($P657,30)&amp;"*"),),)</f>
        <v/>
      </c>
      <c r="O657" s="158" t="str">
        <f>IF($P657&lt;&gt;"",IF(MAXIFS(Investment!$AH:$AH,Investment!$H:$H,LEFT($P657,30)&amp;"*"),MAXIFS(Investment!$AH:$AH,Investment!$H:$H,LEFT($P657,30)&amp;"*"),),)</f>
        <v/>
      </c>
      <c r="P657" s="299"/>
      <c r="R657" s="52"/>
    </row>
    <row r="658">
      <c r="A658" s="122">
        <v>41024.0</v>
      </c>
      <c r="B658" s="55"/>
      <c r="C658" s="304" t="s">
        <v>1443</v>
      </c>
      <c r="D658" s="326" t="s">
        <v>272</v>
      </c>
      <c r="E658" s="30"/>
      <c r="F658" s="264"/>
      <c r="G658" s="128">
        <v>-32.86</v>
      </c>
      <c r="H658" s="318" t="str">
        <f t="shared" si="555"/>
        <v>VIVENDI@DIVIDEND@@-32.86</v>
      </c>
      <c r="I658" s="138" t="str">
        <f t="shared" ref="I658:J658" si="664">IFS(AND($B658&lt;&gt;"",$E658&lt;&gt;""),IF(INDEX(N:N,MATCH($C658,$P:$P,0),1)&lt;&gt;"",$E658*INDEX(N:N,MATCH($C658,$P:$P,0),1)+$G658,""),AND($B658&lt;&gt;"",$D658="COST",$G658&lt;0),$G658,TRUE,)</f>
        <v/>
      </c>
      <c r="J658" s="138" t="str">
        <f t="shared" si="664"/>
        <v/>
      </c>
      <c r="K658" s="266" t="str">
        <f t="shared" si="3"/>
        <v>VIVENDI</v>
      </c>
      <c r="L658" s="156">
        <f t="shared" si="4"/>
        <v>0</v>
      </c>
      <c r="M658" s="156">
        <f t="shared" si="5"/>
        <v>460.31</v>
      </c>
      <c r="N658" s="155" t="str">
        <f>IF($P658&lt;&gt;"",IF(MAXIFS(Investment!$M:$M,Investment!$H:$H,LEFT($P658,30)&amp;"*"),MAXIFS(Investment!$M:$M,Investment!$H:$H,LEFT($P658,30)&amp;"*"),),)</f>
        <v/>
      </c>
      <c r="O658" s="158" t="str">
        <f>IF($P658&lt;&gt;"",IF(MAXIFS(Investment!$AH:$AH,Investment!$H:$H,LEFT($P658,30)&amp;"*"),MAXIFS(Investment!$AH:$AH,Investment!$H:$H,LEFT($P658,30)&amp;"*"),),)</f>
        <v/>
      </c>
      <c r="P658" s="299"/>
      <c r="R658" s="52"/>
    </row>
    <row r="659">
      <c r="A659" s="122">
        <v>41004.0</v>
      </c>
      <c r="C659" s="48" t="s">
        <v>1431</v>
      </c>
      <c r="D659" s="55" t="s">
        <v>330</v>
      </c>
      <c r="E659" s="30">
        <v>70.0</v>
      </c>
      <c r="F659" s="264">
        <v>21.5</v>
      </c>
      <c r="G659" s="128">
        <v>-1506.35</v>
      </c>
      <c r="H659" s="318" t="str">
        <f t="shared" si="555"/>
        <v>BOUYGUES@BUY@70@-1506.35</v>
      </c>
      <c r="I659" s="138" t="str">
        <f t="shared" ref="I659:J659" si="665">IFS(AND($B659&lt;&gt;"",$E659&lt;&gt;""),IF(INDEX(N:N,MATCH($C659,$P:$P,0),1)&lt;&gt;"",$E659*INDEX(N:N,MATCH($C659,$P:$P,0),1)+$G659,""),AND($B659&lt;&gt;"",$D659="COST",$G659&lt;0),$G659,TRUE,)</f>
        <v/>
      </c>
      <c r="J659" s="138" t="str">
        <f t="shared" si="665"/>
        <v/>
      </c>
      <c r="K659" s="266" t="str">
        <f t="shared" si="3"/>
        <v>BOUYGUES</v>
      </c>
      <c r="L659" s="156">
        <f t="shared" si="4"/>
        <v>0</v>
      </c>
      <c r="M659" s="156">
        <f t="shared" si="5"/>
        <v>1091.52</v>
      </c>
      <c r="N659" s="155" t="str">
        <f>IF($P659&lt;&gt;"",IF(MAXIFS(Investment!$M:$M,Investment!$H:$H,LEFT($P659,30)&amp;"*"),MAXIFS(Investment!$M:$M,Investment!$H:$H,LEFT($P659,30)&amp;"*"),),)</f>
        <v/>
      </c>
      <c r="O659" s="158" t="str">
        <f>IF($P659&lt;&gt;"",IF(MAXIFS(Investment!$AH:$AH,Investment!$H:$H,LEFT($P659,30)&amp;"*"),MAXIFS(Investment!$AH:$AH,Investment!$H:$H,LEFT($P659,30)&amp;"*"),),)</f>
        <v/>
      </c>
      <c r="P659" s="299"/>
      <c r="R659" s="52"/>
    </row>
    <row r="660">
      <c r="A660" s="122">
        <v>41002.0</v>
      </c>
      <c r="B660" s="170"/>
      <c r="C660" s="311"/>
      <c r="D660" s="55" t="s">
        <v>312</v>
      </c>
      <c r="E660" s="170"/>
      <c r="F660" s="264"/>
      <c r="G660" s="128">
        <v>1520.0</v>
      </c>
      <c r="H660" s="318" t="str">
        <f t="shared" si="555"/>
        <v>@APPROVISIONNEMENT@@1520</v>
      </c>
      <c r="I660" s="138" t="str">
        <f t="shared" ref="I660:J660" si="666">IFS(AND($B660&lt;&gt;"",$E660&lt;&gt;""),IF(INDEX(N:N,MATCH($C660,$P:$P,0),1)&lt;&gt;"",$E660*INDEX(N:N,MATCH($C660,$P:$P,0),1)+$G660,""),AND($B660&lt;&gt;"",$D660="COST",$G660&lt;0),$G660,TRUE,)</f>
        <v/>
      </c>
      <c r="J660" s="138" t="str">
        <f t="shared" si="666"/>
        <v/>
      </c>
      <c r="K660" s="266" t="str">
        <f t="shared" si="3"/>
        <v/>
      </c>
      <c r="L660" s="156" t="str">
        <f t="shared" si="4"/>
        <v/>
      </c>
      <c r="M660" s="156" t="str">
        <f t="shared" si="5"/>
        <v/>
      </c>
      <c r="N660" s="155" t="str">
        <f>IF($P660&lt;&gt;"",IF(MAXIFS(Investment!$M:$M,Investment!$H:$H,LEFT($P660,30)&amp;"*"),MAXIFS(Investment!$M:$M,Investment!$H:$H,LEFT($P660,30)&amp;"*"),),)</f>
        <v/>
      </c>
      <c r="O660" s="158" t="str">
        <f>IF($P660&lt;&gt;"",IF(MAXIFS(Investment!$AH:$AH,Investment!$H:$H,LEFT($P660,30)&amp;"*"),MAXIFS(Investment!$AH:$AH,Investment!$H:$H,LEFT($P660,30)&amp;"*"),),)</f>
        <v/>
      </c>
      <c r="P660" s="48"/>
    </row>
    <row r="661">
      <c r="A661" s="122">
        <v>40987.0</v>
      </c>
      <c r="C661" s="48" t="s">
        <v>1439</v>
      </c>
      <c r="D661" s="55" t="s">
        <v>330</v>
      </c>
      <c r="E661" s="30">
        <v>72.0</v>
      </c>
      <c r="F661" s="264">
        <v>19.86</v>
      </c>
      <c r="G661" s="128">
        <v>-1430.85</v>
      </c>
      <c r="H661" s="318" t="str">
        <f t="shared" si="555"/>
        <v>GDF SUEZ@BUY@72@-1430.85</v>
      </c>
      <c r="I661" s="138" t="str">
        <f t="shared" ref="I661:J661" si="667">IFS(AND($B661&lt;&gt;"",$E661&lt;&gt;""),IF(INDEX(N:N,MATCH($C661,$P:$P,0),1)&lt;&gt;"",$E661*INDEX(N:N,MATCH($C661,$P:$P,0),1)+$G661,""),AND($B661&lt;&gt;"",$D661="COST",$G661&lt;0),$G661,TRUE,)</f>
        <v/>
      </c>
      <c r="J661" s="138" t="str">
        <f t="shared" si="667"/>
        <v/>
      </c>
      <c r="K661" s="266" t="str">
        <f t="shared" si="3"/>
        <v>GDF SUEZ</v>
      </c>
      <c r="L661" s="156">
        <f t="shared" si="4"/>
        <v>0</v>
      </c>
      <c r="M661" s="156">
        <f t="shared" si="5"/>
        <v>123.37</v>
      </c>
      <c r="N661" s="155" t="str">
        <f>IF($P661&lt;&gt;"",IF(MAXIFS(Investment!$M:$M,Investment!$H:$H,LEFT($P661,30)&amp;"*"),MAXIFS(Investment!$M:$M,Investment!$H:$H,LEFT($P661,30)&amp;"*"),),)</f>
        <v/>
      </c>
      <c r="O661" s="158" t="str">
        <f>IF($P661&lt;&gt;"",IF(MAXIFS(Investment!$AH:$AH,Investment!$H:$H,LEFT($P661,30)&amp;"*"),MAXIFS(Investment!$AH:$AH,Investment!$H:$H,LEFT($P661,30)&amp;"*"),),)</f>
        <v/>
      </c>
      <c r="P661" s="299"/>
      <c r="R661" s="52"/>
    </row>
    <row r="662">
      <c r="A662" s="122">
        <v>40983.0</v>
      </c>
      <c r="B662" s="333"/>
      <c r="C662" s="334" t="s">
        <v>1444</v>
      </c>
      <c r="D662" s="335" t="s">
        <v>330</v>
      </c>
      <c r="E662" s="30">
        <v>135.0</v>
      </c>
      <c r="F662" s="264">
        <v>12.96</v>
      </c>
      <c r="G662" s="128">
        <v>-1750.5</v>
      </c>
      <c r="H662" s="318"/>
      <c r="I662" s="138" t="str">
        <f t="shared" ref="I662:J662" si="668">IFS(AND($B662&lt;&gt;"",$E662&lt;&gt;""),IF(INDEX(N:N,MATCH($C662,$P:$P,0),1)&lt;&gt;"",$E662*INDEX(N:N,MATCH($C662,$P:$P,0),1)+$G662,""),AND($B662&lt;&gt;"",$D662="COST",$G662&lt;0),$G662,TRUE,)</f>
        <v/>
      </c>
      <c r="J662" s="138" t="str">
        <f t="shared" si="668"/>
        <v/>
      </c>
      <c r="K662" s="266" t="str">
        <f t="shared" si="3"/>
        <v>PEUGEOT</v>
      </c>
      <c r="L662" s="156">
        <f t="shared" si="4"/>
        <v>0</v>
      </c>
      <c r="M662" s="156">
        <f t="shared" si="5"/>
        <v>-532.01</v>
      </c>
      <c r="N662" s="155" t="str">
        <f>IF($P662&lt;&gt;"",IF(MAXIFS(Investment!$M:$M,Investment!$H:$H,LEFT($P662,30)&amp;"*"),MAXIFS(Investment!$M:$M,Investment!$H:$H,LEFT($P662,30)&amp;"*"),),)</f>
        <v/>
      </c>
      <c r="O662" s="158" t="str">
        <f>IF($P662&lt;&gt;"",IF(MAXIFS(Investment!$AH:$AH,Investment!$H:$H,LEFT($P662,30)&amp;"*"),MAXIFS(Investment!$AH:$AH,Investment!$H:$H,LEFT($P662,30)&amp;"*"),),)</f>
        <v/>
      </c>
      <c r="P662" s="299"/>
      <c r="R662" s="52"/>
    </row>
    <row r="663">
      <c r="A663" s="122">
        <v>40983.0</v>
      </c>
      <c r="C663" s="48" t="s">
        <v>1442</v>
      </c>
      <c r="D663" s="55" t="s">
        <v>330</v>
      </c>
      <c r="E663" s="30">
        <v>110.0</v>
      </c>
      <c r="F663" s="264">
        <v>11.24</v>
      </c>
      <c r="G663" s="128">
        <v>-1236.96</v>
      </c>
      <c r="H663" s="318" t="str">
        <f t="shared" ref="H663:H679" si="670">IF(D663&lt;&gt;"",C663 &amp; "@" &amp; D663 &amp; "@" &amp; E663 &amp; "@" &amp; G663,"")</f>
        <v>FRANCE TELECOM@BUY@110@-1236.96</v>
      </c>
      <c r="I663" s="138" t="str">
        <f t="shared" ref="I663:J663" si="669">IFS(AND($B663&lt;&gt;"",$E663&lt;&gt;""),IF(INDEX(N:N,MATCH($C663,$P:$P,0),1)&lt;&gt;"",$E663*INDEX(N:N,MATCH($C663,$P:$P,0),1)+$G663,""),AND($B663&lt;&gt;"",$D663="COST",$G663&lt;0),$G663,TRUE,)</f>
        <v/>
      </c>
      <c r="J663" s="138" t="str">
        <f t="shared" si="669"/>
        <v/>
      </c>
      <c r="K663" s="266" t="str">
        <f t="shared" si="3"/>
        <v>FRANCE TELECOM</v>
      </c>
      <c r="L663" s="156">
        <f t="shared" si="4"/>
        <v>0</v>
      </c>
      <c r="M663" s="156">
        <f t="shared" si="5"/>
        <v>1049.82</v>
      </c>
      <c r="N663" s="155" t="str">
        <f>IF($P663&lt;&gt;"",IF(MAXIFS(Investment!$M:$M,Investment!$H:$H,LEFT($P663,30)&amp;"*"),MAXIFS(Investment!$M:$M,Investment!$H:$H,LEFT($P663,30)&amp;"*"),),)</f>
        <v/>
      </c>
      <c r="O663" s="158" t="str">
        <f>IF($P663&lt;&gt;"",IF(MAXIFS(Investment!$AH:$AH,Investment!$H:$H,LEFT($P663,30)&amp;"*"),MAXIFS(Investment!$AH:$AH,Investment!$H:$H,LEFT($P663,30)&amp;"*"),),)</f>
        <v/>
      </c>
      <c r="P663" s="299"/>
      <c r="R663" s="52"/>
    </row>
    <row r="664">
      <c r="A664" s="122">
        <v>40983.0</v>
      </c>
      <c r="C664" s="48" t="s">
        <v>1445</v>
      </c>
      <c r="D664" s="55" t="s">
        <v>319</v>
      </c>
      <c r="E664" s="30">
        <v>-445.0</v>
      </c>
      <c r="F664" s="264">
        <v>5.09</v>
      </c>
      <c r="G664" s="128">
        <v>2262.12</v>
      </c>
      <c r="H664" s="318" t="str">
        <f t="shared" si="670"/>
        <v>CREDIT AGRICOLE@SELL@-445@2262.12</v>
      </c>
      <c r="I664" s="138" t="str">
        <f t="shared" ref="I664:J664" si="671">IFS(AND($B664&lt;&gt;"",$E664&lt;&gt;""),IF(INDEX(N:N,MATCH($C664,$P:$P,0),1)&lt;&gt;"",$E664*INDEX(N:N,MATCH($C664,$P:$P,0),1)+$G664,""),AND($B664&lt;&gt;"",$D664="COST",$G664&lt;0),$G664,TRUE,)</f>
        <v/>
      </c>
      <c r="J664" s="138" t="str">
        <f t="shared" si="671"/>
        <v/>
      </c>
      <c r="K664" s="266" t="str">
        <f t="shared" si="3"/>
        <v>CREDIT AGRICOLE</v>
      </c>
      <c r="L664" s="156">
        <f t="shared" si="4"/>
        <v>0</v>
      </c>
      <c r="M664" s="156">
        <f t="shared" si="5"/>
        <v>173.19</v>
      </c>
      <c r="N664" s="155" t="str">
        <f>IF($P664&lt;&gt;"",IF(MAXIFS(Investment!$M:$M,Investment!$H:$H,LEFT($P664,30)&amp;"*"),MAXIFS(Investment!$M:$M,Investment!$H:$H,LEFT($P664,30)&amp;"*"),),)</f>
        <v/>
      </c>
      <c r="O664" s="158" t="str">
        <f>IF($P664&lt;&gt;"",IF(MAXIFS(Investment!$AH:$AH,Investment!$H:$H,LEFT($P664,30)&amp;"*"),MAXIFS(Investment!$AH:$AH,Investment!$H:$H,LEFT($P664,30)&amp;"*"),),)</f>
        <v/>
      </c>
      <c r="P664" s="299"/>
      <c r="R664" s="52"/>
    </row>
    <row r="665">
      <c r="A665" s="122">
        <v>40980.0</v>
      </c>
      <c r="B665" s="170"/>
      <c r="C665" s="311"/>
      <c r="D665" s="55" t="s">
        <v>312</v>
      </c>
      <c r="E665" s="170"/>
      <c r="F665" s="264"/>
      <c r="G665" s="128">
        <v>1700.0</v>
      </c>
      <c r="H665" s="318" t="str">
        <f t="shared" si="670"/>
        <v>@APPROVISIONNEMENT@@1700</v>
      </c>
      <c r="I665" s="138" t="str">
        <f t="shared" ref="I665:J665" si="672">IFS(AND($B665&lt;&gt;"",$E665&lt;&gt;""),IF(INDEX(N:N,MATCH($C665,$P:$P,0),1)&lt;&gt;"",$E665*INDEX(N:N,MATCH($C665,$P:$P,0),1)+$G665,""),AND($B665&lt;&gt;"",$D665="COST",$G665&lt;0),$G665,TRUE,)</f>
        <v/>
      </c>
      <c r="J665" s="138" t="str">
        <f t="shared" si="672"/>
        <v/>
      </c>
      <c r="K665" s="266" t="str">
        <f t="shared" si="3"/>
        <v/>
      </c>
      <c r="L665" s="156" t="str">
        <f t="shared" si="4"/>
        <v/>
      </c>
      <c r="M665" s="156" t="str">
        <f t="shared" si="5"/>
        <v/>
      </c>
      <c r="N665" s="155" t="str">
        <f>IF($P665&lt;&gt;"",IF(MAXIFS(Investment!$M:$M,Investment!$H:$H,LEFT($P665,30)&amp;"*"),MAXIFS(Investment!$M:$M,Investment!$H:$H,LEFT($P665,30)&amp;"*"),),)</f>
        <v/>
      </c>
      <c r="O665" s="158" t="str">
        <f>IF($P665&lt;&gt;"",IF(MAXIFS(Investment!$AH:$AH,Investment!$H:$H,LEFT($P665,30)&amp;"*"),MAXIFS(Investment!$AH:$AH,Investment!$H:$H,LEFT($P665,30)&amp;"*"),),)</f>
        <v/>
      </c>
      <c r="P665" s="48"/>
    </row>
    <row r="666">
      <c r="A666" s="122">
        <v>40970.0</v>
      </c>
      <c r="C666" s="48" t="s">
        <v>1443</v>
      </c>
      <c r="D666" s="55" t="s">
        <v>330</v>
      </c>
      <c r="E666" s="30">
        <v>100.0</v>
      </c>
      <c r="F666" s="264">
        <v>14.2</v>
      </c>
      <c r="G666" s="128">
        <v>-1421.28</v>
      </c>
      <c r="H666" s="318" t="str">
        <f t="shared" si="670"/>
        <v>VIVENDI@BUY@100@-1421.28</v>
      </c>
      <c r="I666" s="138" t="str">
        <f t="shared" ref="I666:J666" si="673">IFS(AND($B666&lt;&gt;"",$E666&lt;&gt;""),IF(INDEX(N:N,MATCH($C666,$P:$P,0),1)&lt;&gt;"",$E666*INDEX(N:N,MATCH($C666,$P:$P,0),1)+$G666,""),AND($B666&lt;&gt;"",$D666="COST",$G666&lt;0),$G666,TRUE,)</f>
        <v/>
      </c>
      <c r="J666" s="138" t="str">
        <f t="shared" si="673"/>
        <v/>
      </c>
      <c r="K666" s="266" t="str">
        <f t="shared" si="3"/>
        <v>VIVENDI</v>
      </c>
      <c r="L666" s="156">
        <f t="shared" si="4"/>
        <v>0</v>
      </c>
      <c r="M666" s="156">
        <f t="shared" si="5"/>
        <v>460.31</v>
      </c>
      <c r="N666" s="155" t="str">
        <f>IF($P666&lt;&gt;"",IF(MAXIFS(Investment!$M:$M,Investment!$H:$H,LEFT($P666,30)&amp;"*"),MAXIFS(Investment!$M:$M,Investment!$H:$H,LEFT($P666,30)&amp;"*"),),)</f>
        <v/>
      </c>
      <c r="O666" s="158" t="str">
        <f>IF($P666&lt;&gt;"",IF(MAXIFS(Investment!$AH:$AH,Investment!$H:$H,LEFT($P666,30)&amp;"*"),MAXIFS(Investment!$AH:$AH,Investment!$H:$H,LEFT($P666,30)&amp;"*"),),)</f>
        <v/>
      </c>
      <c r="P666" s="299"/>
      <c r="R666" s="52"/>
    </row>
    <row r="667">
      <c r="A667" s="122">
        <v>40969.0</v>
      </c>
      <c r="C667" s="48" t="s">
        <v>1443</v>
      </c>
      <c r="D667" s="55" t="s">
        <v>330</v>
      </c>
      <c r="E667" s="30">
        <v>155.0</v>
      </c>
      <c r="F667" s="264">
        <v>14.67</v>
      </c>
      <c r="G667" s="128">
        <v>-2275.13</v>
      </c>
      <c r="H667" s="318" t="str">
        <f t="shared" si="670"/>
        <v>VIVENDI@BUY@155@-2275.13</v>
      </c>
      <c r="I667" s="138" t="str">
        <f t="shared" ref="I667:J667" si="674">IFS(AND($B667&lt;&gt;"",$E667&lt;&gt;""),IF(INDEX(N:N,MATCH($C667,$P:$P,0),1)&lt;&gt;"",$E667*INDEX(N:N,MATCH($C667,$P:$P,0),1)+$G667,""),AND($B667&lt;&gt;"",$D667="COST",$G667&lt;0),$G667,TRUE,)</f>
        <v/>
      </c>
      <c r="J667" s="138" t="str">
        <f t="shared" si="674"/>
        <v/>
      </c>
      <c r="K667" s="266" t="str">
        <f t="shared" si="3"/>
        <v>VIVENDI</v>
      </c>
      <c r="L667" s="156">
        <f t="shared" si="4"/>
        <v>0</v>
      </c>
      <c r="M667" s="156">
        <f t="shared" si="5"/>
        <v>460.31</v>
      </c>
      <c r="N667" s="155" t="str">
        <f>IF($P667&lt;&gt;"",IF(MAXIFS(Investment!$M:$M,Investment!$H:$H,LEFT($P667,30)&amp;"*"),MAXIFS(Investment!$M:$M,Investment!$H:$H,LEFT($P667,30)&amp;"*"),),)</f>
        <v/>
      </c>
      <c r="O667" s="158" t="str">
        <f>IF($P667&lt;&gt;"",IF(MAXIFS(Investment!$AH:$AH,Investment!$H:$H,LEFT($P667,30)&amp;"*"),MAXIFS(Investment!$AH:$AH,Investment!$H:$H,LEFT($P667,30)&amp;"*"),),)</f>
        <v/>
      </c>
      <c r="P667" s="299"/>
      <c r="R667" s="52"/>
    </row>
    <row r="668">
      <c r="A668" s="122">
        <v>40969.0</v>
      </c>
      <c r="C668" s="48" t="s">
        <v>1446</v>
      </c>
      <c r="D668" s="55" t="s">
        <v>319</v>
      </c>
      <c r="E668" s="30">
        <v>-250.0</v>
      </c>
      <c r="F668" s="264">
        <v>9.68</v>
      </c>
      <c r="G668" s="128">
        <v>2416.57</v>
      </c>
      <c r="H668" s="318" t="str">
        <f t="shared" si="670"/>
        <v>VEOLIA ENVIRON@SELL@-250@2416.57</v>
      </c>
      <c r="I668" s="138" t="str">
        <f t="shared" ref="I668:J668" si="675">IFS(AND($B668&lt;&gt;"",$E668&lt;&gt;""),IF(INDEX(N:N,MATCH($C668,$P:$P,0),1)&lt;&gt;"",$E668*INDEX(N:N,MATCH($C668,$P:$P,0),1)+$G668,""),AND($B668&lt;&gt;"",$D668="COST",$G668&lt;0),$G668,TRUE,)</f>
        <v/>
      </c>
      <c r="J668" s="138" t="str">
        <f t="shared" si="675"/>
        <v/>
      </c>
      <c r="K668" s="266" t="str">
        <f t="shared" si="3"/>
        <v>VEOLIA ENVIRON</v>
      </c>
      <c r="L668" s="156">
        <f t="shared" si="4"/>
        <v>0</v>
      </c>
      <c r="M668" s="156">
        <f t="shared" si="5"/>
        <v>401.01</v>
      </c>
      <c r="N668" s="155" t="str">
        <f>IF($P668&lt;&gt;"",IF(MAXIFS(Investment!$M:$M,Investment!$H:$H,LEFT($P668,30)&amp;"*"),MAXIFS(Investment!$M:$M,Investment!$H:$H,LEFT($P668,30)&amp;"*"),),)</f>
        <v/>
      </c>
      <c r="O668" s="158" t="str">
        <f>IF($P668&lt;&gt;"",IF(MAXIFS(Investment!$AH:$AH,Investment!$H:$H,LEFT($P668,30)&amp;"*"),MAXIFS(Investment!$AH:$AH,Investment!$H:$H,LEFT($P668,30)&amp;"*"),),)</f>
        <v/>
      </c>
      <c r="P668" s="299"/>
      <c r="R668" s="52"/>
    </row>
    <row r="669">
      <c r="A669" s="122">
        <v>40968.0</v>
      </c>
      <c r="B669" s="170"/>
      <c r="C669" s="311"/>
      <c r="D669" s="55" t="s">
        <v>312</v>
      </c>
      <c r="E669" s="170"/>
      <c r="F669" s="264"/>
      <c r="G669" s="128">
        <v>1280.0</v>
      </c>
      <c r="H669" s="318" t="str">
        <f t="shared" si="670"/>
        <v>@APPROVISIONNEMENT@@1280</v>
      </c>
      <c r="I669" s="138" t="str">
        <f t="shared" ref="I669:J669" si="676">IFS(AND($B669&lt;&gt;"",$E669&lt;&gt;""),IF(INDEX(N:N,MATCH($C669,$P:$P,0),1)&lt;&gt;"",$E669*INDEX(N:N,MATCH($C669,$P:$P,0),1)+$G669,""),AND($B669&lt;&gt;"",$D669="COST",$G669&lt;0),$G669,TRUE,)</f>
        <v/>
      </c>
      <c r="J669" s="138" t="str">
        <f t="shared" si="676"/>
        <v/>
      </c>
      <c r="K669" s="266" t="str">
        <f t="shared" si="3"/>
        <v/>
      </c>
      <c r="L669" s="156" t="str">
        <f t="shared" si="4"/>
        <v/>
      </c>
      <c r="M669" s="156" t="str">
        <f t="shared" si="5"/>
        <v/>
      </c>
      <c r="N669" s="155" t="str">
        <f>IF($P669&lt;&gt;"",IF(MAXIFS(Investment!$M:$M,Investment!$H:$H,LEFT($P669,30)&amp;"*"),MAXIFS(Investment!$M:$M,Investment!$H:$H,LEFT($P669,30)&amp;"*"),),)</f>
        <v/>
      </c>
      <c r="O669" s="158" t="str">
        <f>IF($P669&lt;&gt;"",IF(MAXIFS(Investment!$AH:$AH,Investment!$H:$H,LEFT($P669,30)&amp;"*"),MAXIFS(Investment!$AH:$AH,Investment!$H:$H,LEFT($P669,30)&amp;"*"),),)</f>
        <v/>
      </c>
      <c r="P669" s="48"/>
    </row>
    <row r="670">
      <c r="A670" s="122">
        <v>40967.0</v>
      </c>
      <c r="C670" s="48" t="s">
        <v>1445</v>
      </c>
      <c r="D670" s="55" t="s">
        <v>330</v>
      </c>
      <c r="E670" s="30">
        <v>445.0</v>
      </c>
      <c r="F670" s="264">
        <v>4.69</v>
      </c>
      <c r="G670" s="128">
        <v>-2088.93</v>
      </c>
      <c r="H670" s="318" t="str">
        <f t="shared" si="670"/>
        <v>CREDIT AGRICOLE@BUY@445@-2088.93</v>
      </c>
      <c r="I670" s="138" t="str">
        <f t="shared" ref="I670:J670" si="677">IFS(AND($B670&lt;&gt;"",$E670&lt;&gt;""),IF(INDEX(N:N,MATCH($C670,$P:$P,0),1)&lt;&gt;"",$E670*INDEX(N:N,MATCH($C670,$P:$P,0),1)+$G670,""),AND($B670&lt;&gt;"",$D670="COST",$G670&lt;0),$G670,TRUE,)</f>
        <v/>
      </c>
      <c r="J670" s="138" t="str">
        <f t="shared" si="677"/>
        <v/>
      </c>
      <c r="K670" s="266" t="str">
        <f t="shared" si="3"/>
        <v>CREDIT AGRICOLE</v>
      </c>
      <c r="L670" s="156">
        <f t="shared" si="4"/>
        <v>0</v>
      </c>
      <c r="M670" s="156">
        <f t="shared" si="5"/>
        <v>173.19</v>
      </c>
      <c r="N670" s="155" t="str">
        <f>IF($P670&lt;&gt;"",IF(MAXIFS(Investment!$M:$M,Investment!$H:$H,LEFT($P670,30)&amp;"*"),MAXIFS(Investment!$M:$M,Investment!$H:$H,LEFT($P670,30)&amp;"*"),),)</f>
        <v/>
      </c>
      <c r="O670" s="158" t="str">
        <f>IF($P670&lt;&gt;"",IF(MAXIFS(Investment!$AH:$AH,Investment!$H:$H,LEFT($P670,30)&amp;"*"),MAXIFS(Investment!$AH:$AH,Investment!$H:$H,LEFT($P670,30)&amp;"*"),),)</f>
        <v/>
      </c>
      <c r="P670" s="299"/>
      <c r="R670" s="52"/>
    </row>
    <row r="671">
      <c r="A671" s="122">
        <v>40967.0</v>
      </c>
      <c r="C671" s="48" t="s">
        <v>1442</v>
      </c>
      <c r="D671" s="55" t="s">
        <v>330</v>
      </c>
      <c r="E671" s="30">
        <v>100.0</v>
      </c>
      <c r="F671" s="264">
        <v>11.66</v>
      </c>
      <c r="G671" s="128">
        <v>-1166.55</v>
      </c>
      <c r="H671" s="318" t="str">
        <f t="shared" si="670"/>
        <v>FRANCE TELECOM@BUY@100@-1166.55</v>
      </c>
      <c r="I671" s="138" t="str">
        <f t="shared" ref="I671:J671" si="678">IFS(AND($B671&lt;&gt;"",$E671&lt;&gt;""),IF(INDEX(N:N,MATCH($C671,$P:$P,0),1)&lt;&gt;"",$E671*INDEX(N:N,MATCH($C671,$P:$P,0),1)+$G671,""),AND($B671&lt;&gt;"",$D671="COST",$G671&lt;0),$G671,TRUE,)</f>
        <v/>
      </c>
      <c r="J671" s="138" t="str">
        <f t="shared" si="678"/>
        <v/>
      </c>
      <c r="K671" s="266" t="str">
        <f t="shared" si="3"/>
        <v>FRANCE TELECOM</v>
      </c>
      <c r="L671" s="156">
        <f t="shared" si="4"/>
        <v>0</v>
      </c>
      <c r="M671" s="156">
        <f t="shared" si="5"/>
        <v>1049.82</v>
      </c>
      <c r="N671" s="155" t="str">
        <f>IF($P671&lt;&gt;"",IF(MAXIFS(Investment!$M:$M,Investment!$H:$H,LEFT($P671,30)&amp;"*"),MAXIFS(Investment!$M:$M,Investment!$H:$H,LEFT($P671,30)&amp;"*"),),)</f>
        <v/>
      </c>
      <c r="O671" s="158" t="str">
        <f>IF($P671&lt;&gt;"",IF(MAXIFS(Investment!$AH:$AH,Investment!$H:$H,LEFT($P671,30)&amp;"*"),MAXIFS(Investment!$AH:$AH,Investment!$H:$H,LEFT($P671,30)&amp;"*"),),)</f>
        <v/>
      </c>
      <c r="P671" s="299"/>
      <c r="R671" s="52"/>
    </row>
    <row r="672">
      <c r="A672" s="122">
        <v>40967.0</v>
      </c>
      <c r="C672" s="48" t="s">
        <v>1430</v>
      </c>
      <c r="D672" s="55" t="s">
        <v>330</v>
      </c>
      <c r="E672" s="30">
        <v>70.0</v>
      </c>
      <c r="F672" s="264">
        <v>18.58</v>
      </c>
      <c r="G672" s="128">
        <v>-1301.77</v>
      </c>
      <c r="H672" s="318" t="str">
        <f t="shared" si="670"/>
        <v>EDF@BUY@70@-1301.77</v>
      </c>
      <c r="I672" s="138" t="str">
        <f t="shared" ref="I672:J672" si="679">IFS(AND($B672&lt;&gt;"",$E672&lt;&gt;""),IF(INDEX(N:N,MATCH($C672,$P:$P,0),1)&lt;&gt;"",$E672*INDEX(N:N,MATCH($C672,$P:$P,0),1)+$G672,""),AND($B672&lt;&gt;"",$D672="COST",$G672&lt;0),$G672,TRUE,)</f>
        <v/>
      </c>
      <c r="J672" s="138" t="str">
        <f t="shared" si="679"/>
        <v/>
      </c>
      <c r="K672" s="266" t="str">
        <f t="shared" si="3"/>
        <v>EDF</v>
      </c>
      <c r="L672" s="156">
        <f t="shared" si="4"/>
        <v>0</v>
      </c>
      <c r="M672" s="156">
        <f t="shared" si="5"/>
        <v>1451.96</v>
      </c>
      <c r="N672" s="155" t="str">
        <f>IF($P672&lt;&gt;"",IF(MAXIFS(Investment!$M:$M,Investment!$H:$H,LEFT($P672,30)&amp;"*"),MAXIFS(Investment!$M:$M,Investment!$H:$H,LEFT($P672,30)&amp;"*"),),)</f>
        <v/>
      </c>
      <c r="O672" s="158" t="str">
        <f>IF($P672&lt;&gt;"",IF(MAXIFS(Investment!$AH:$AH,Investment!$H:$H,LEFT($P672,30)&amp;"*"),MAXIFS(Investment!$AH:$AH,Investment!$H:$H,LEFT($P672,30)&amp;"*"),),)</f>
        <v/>
      </c>
      <c r="P672" s="299"/>
      <c r="R672" s="52"/>
    </row>
    <row r="673">
      <c r="A673" s="122">
        <v>40963.0</v>
      </c>
      <c r="B673" s="170"/>
      <c r="C673" s="311"/>
      <c r="D673" s="55" t="s">
        <v>312</v>
      </c>
      <c r="E673" s="170"/>
      <c r="F673" s="264"/>
      <c r="G673" s="128">
        <v>5000.0</v>
      </c>
      <c r="H673" s="318" t="str">
        <f t="shared" si="670"/>
        <v>@APPROVISIONNEMENT@@5000</v>
      </c>
      <c r="I673" s="138" t="str">
        <f t="shared" ref="I673:J673" si="680">IFS(AND($B673&lt;&gt;"",$E673&lt;&gt;""),IF(INDEX(N:N,MATCH($C673,$P:$P,0),1)&lt;&gt;"",$E673*INDEX(N:N,MATCH($C673,$P:$P,0),1)+$G673,""),AND($B673&lt;&gt;"",$D673="COST",$G673&lt;0),$G673,TRUE,)</f>
        <v/>
      </c>
      <c r="J673" s="138" t="str">
        <f t="shared" si="680"/>
        <v/>
      </c>
      <c r="K673" s="266" t="str">
        <f t="shared" si="3"/>
        <v/>
      </c>
      <c r="L673" s="156" t="str">
        <f t="shared" si="4"/>
        <v/>
      </c>
      <c r="M673" s="156" t="str">
        <f t="shared" si="5"/>
        <v/>
      </c>
      <c r="N673" s="155" t="str">
        <f>IF($P673&lt;&gt;"",IF(MAXIFS(Investment!$M:$M,Investment!$H:$H,LEFT($P673,30)&amp;"*"),MAXIFS(Investment!$M:$M,Investment!$H:$H,LEFT($P673,30)&amp;"*"),),)</f>
        <v/>
      </c>
      <c r="O673" s="158" t="str">
        <f>IF($P673&lt;&gt;"",IF(MAXIFS(Investment!$AH:$AH,Investment!$H:$H,LEFT($P673,30)&amp;"*"),MAXIFS(Investment!$AH:$AH,Investment!$H:$H,LEFT($P673,30)&amp;"*"),),)</f>
        <v/>
      </c>
      <c r="P673" s="48"/>
      <c r="R673" s="52"/>
    </row>
    <row r="674">
      <c r="A674" s="122">
        <v>40917.0</v>
      </c>
      <c r="C674" s="48" t="s">
        <v>1446</v>
      </c>
      <c r="D674" s="55" t="s">
        <v>330</v>
      </c>
      <c r="E674" s="30">
        <v>250.0</v>
      </c>
      <c r="F674" s="264">
        <v>8.06</v>
      </c>
      <c r="G674" s="128">
        <v>-2015.56</v>
      </c>
      <c r="H674" s="318" t="str">
        <f t="shared" si="670"/>
        <v>VEOLIA ENVIRON@BUY@250@-2015.56</v>
      </c>
      <c r="I674" s="138" t="str">
        <f t="shared" ref="I674:J674" si="681">IFS(AND($B674&lt;&gt;"",$E674&lt;&gt;""),IF(INDEX(N:N,MATCH($C674,$P:$P,0),1)&lt;&gt;"",$E674*INDEX(N:N,MATCH($C674,$P:$P,0),1)+$G674,""),AND($B674&lt;&gt;"",$D674="COST",$G674&lt;0),$G674,TRUE,)</f>
        <v/>
      </c>
      <c r="J674" s="138" t="str">
        <f t="shared" si="681"/>
        <v/>
      </c>
      <c r="K674" s="266" t="str">
        <f t="shared" si="3"/>
        <v>VEOLIA ENVIRON</v>
      </c>
      <c r="L674" s="156">
        <f t="shared" si="4"/>
        <v>0</v>
      </c>
      <c r="M674" s="156">
        <f t="shared" si="5"/>
        <v>401.01</v>
      </c>
      <c r="N674" s="155" t="str">
        <f>IF($P674&lt;&gt;"",IF(MAXIFS(Investment!$M:$M,Investment!$H:$H,LEFT($P674,30)&amp;"*"),MAXIFS(Investment!$M:$M,Investment!$H:$H,LEFT($P674,30)&amp;"*"),),)</f>
        <v/>
      </c>
      <c r="O674" s="158" t="str">
        <f>IF($P674&lt;&gt;"",IF(MAXIFS(Investment!$AH:$AH,Investment!$H:$H,LEFT($P674,30)&amp;"*"),MAXIFS(Investment!$AH:$AH,Investment!$H:$H,LEFT($P674,30)&amp;"*"),),)</f>
        <v/>
      </c>
      <c r="P674" s="299"/>
      <c r="R674" s="52"/>
    </row>
    <row r="675">
      <c r="A675" s="122">
        <v>40914.0</v>
      </c>
      <c r="B675" s="170"/>
      <c r="C675" s="311"/>
      <c r="D675" s="55" t="s">
        <v>312</v>
      </c>
      <c r="E675" s="170"/>
      <c r="F675" s="264"/>
      <c r="G675" s="128">
        <v>2000.0</v>
      </c>
      <c r="H675" s="318" t="str">
        <f t="shared" si="670"/>
        <v>@APPROVISIONNEMENT@@2000</v>
      </c>
      <c r="I675" s="138" t="str">
        <f t="shared" ref="I675:J675" si="682">IFS(AND($B675&lt;&gt;"",$E675&lt;&gt;""),IF(INDEX(N:N,MATCH($C675,$P:$P,0),1)&lt;&gt;"",$E675*INDEX(N:N,MATCH($C675,$P:$P,0),1)+$G675,""),AND($B675&lt;&gt;"",$D675="COST",$G675&lt;0),$G675,TRUE,)</f>
        <v/>
      </c>
      <c r="J675" s="138" t="str">
        <f t="shared" si="682"/>
        <v/>
      </c>
      <c r="K675" s="266" t="str">
        <f t="shared" si="3"/>
        <v/>
      </c>
      <c r="L675" s="156" t="str">
        <f t="shared" si="4"/>
        <v/>
      </c>
      <c r="M675" s="156" t="str">
        <f t="shared" si="5"/>
        <v/>
      </c>
      <c r="N675" s="155" t="str">
        <f>IF($P675&lt;&gt;"",IF(MAXIFS(Investment!$M:$M,Investment!$H:$H,LEFT($P675,30)&amp;"*"),MAXIFS(Investment!$M:$M,Investment!$H:$H,LEFT($P675,30)&amp;"*"),),)</f>
        <v/>
      </c>
      <c r="O675" s="158" t="str">
        <f>IF($P675&lt;&gt;"",IF(MAXIFS(Investment!$AH:$AH,Investment!$H:$H,LEFT($P675,30)&amp;"*"),MAXIFS(Investment!$AH:$AH,Investment!$H:$H,LEFT($P675,30)&amp;"*"),),)</f>
        <v/>
      </c>
      <c r="P675" s="48"/>
    </row>
    <row r="676">
      <c r="A676" s="122">
        <v>40906.0</v>
      </c>
      <c r="C676" s="48" t="s">
        <v>1442</v>
      </c>
      <c r="D676" s="55" t="s">
        <v>330</v>
      </c>
      <c r="E676" s="30">
        <v>245.0</v>
      </c>
      <c r="F676" s="264">
        <v>11.815</v>
      </c>
      <c r="G676" s="128">
        <v>-2897.57</v>
      </c>
      <c r="H676" s="318" t="str">
        <f t="shared" si="670"/>
        <v>FRANCE TELECOM@BUY@245@-2897.57</v>
      </c>
      <c r="I676" s="138" t="str">
        <f t="shared" ref="I676:J676" si="683">IFS(AND($B676&lt;&gt;"",$E676&lt;&gt;""),IF(INDEX(N:N,MATCH($C676,$P:$P,0),1)&lt;&gt;"",$E676*INDEX(N:N,MATCH($C676,$P:$P,0),1)+$G676,""),AND($B676&lt;&gt;"",$D676="COST",$G676&lt;0),$G676,TRUE,)</f>
        <v/>
      </c>
      <c r="J676" s="138" t="str">
        <f t="shared" si="683"/>
        <v/>
      </c>
      <c r="K676" s="266" t="str">
        <f t="shared" si="3"/>
        <v>FRANCE TELECOM</v>
      </c>
      <c r="L676" s="156">
        <f t="shared" si="4"/>
        <v>0</v>
      </c>
      <c r="M676" s="156">
        <f t="shared" si="5"/>
        <v>1049.82</v>
      </c>
      <c r="N676" s="155" t="str">
        <f>IF($P676&lt;&gt;"",IF(MAXIFS(Investment!$M:$M,Investment!$H:$H,LEFT($P676,30)&amp;"*"),MAXIFS(Investment!$M:$M,Investment!$H:$H,LEFT($P676,30)&amp;"*"),),)</f>
        <v/>
      </c>
      <c r="O676" s="158" t="str">
        <f>IF($P676&lt;&gt;"",IF(MAXIFS(Investment!$AH:$AH,Investment!$H:$H,LEFT($P676,30)&amp;"*"),MAXIFS(Investment!$AH:$AH,Investment!$H:$H,LEFT($P676,30)&amp;"*"),),)</f>
        <v/>
      </c>
      <c r="P676" s="299"/>
      <c r="R676" s="52"/>
    </row>
    <row r="677">
      <c r="A677" s="122">
        <v>40828.0</v>
      </c>
      <c r="B677" s="245"/>
      <c r="C677" s="332" t="s">
        <v>1442</v>
      </c>
      <c r="D677" s="245" t="s">
        <v>319</v>
      </c>
      <c r="E677" s="30">
        <v>-555.0</v>
      </c>
      <c r="F677" s="264">
        <f t="shared" ref="F677:F678" si="685">-G677/E677</f>
        <v>17.61367568</v>
      </c>
      <c r="G677" s="128">
        <v>9775.59</v>
      </c>
      <c r="H677" s="318" t="str">
        <f t="shared" si="670"/>
        <v>FRANCE TELECOM@SELL@-555@9775.59</v>
      </c>
      <c r="I677" s="138" t="str">
        <f t="shared" ref="I677:J677" si="684">IFS(AND($B677&lt;&gt;"",$E677&lt;&gt;""),IF(INDEX(N:N,MATCH($C677,$P:$P,0),1)&lt;&gt;"",$E677*INDEX(N:N,MATCH($C677,$P:$P,0),1)+$G677,""),AND($B677&lt;&gt;"",$D677="COST",$G677&lt;0),$G677,TRUE,)</f>
        <v/>
      </c>
      <c r="J677" s="138" t="str">
        <f t="shared" si="684"/>
        <v/>
      </c>
      <c r="K677" s="266" t="str">
        <f t="shared" si="3"/>
        <v>FRANCE TELECOM</v>
      </c>
      <c r="L677" s="156">
        <f t="shared" si="4"/>
        <v>0</v>
      </c>
      <c r="M677" s="156">
        <f t="shared" si="5"/>
        <v>1049.82</v>
      </c>
      <c r="N677" s="155" t="str">
        <f>IF($P677&lt;&gt;"",IF(MAXIFS(Investment!$M:$M,Investment!$H:$H,LEFT($P677,30)&amp;"*"),MAXIFS(Investment!$M:$M,Investment!$H:$H,LEFT($P677,30)&amp;"*"),),)</f>
        <v/>
      </c>
      <c r="O677" s="158" t="str">
        <f>IF($P677&lt;&gt;"",IF(MAXIFS(Investment!$AH:$AH,Investment!$H:$H,LEFT($P677,30)&amp;"*"),MAXIFS(Investment!$AH:$AH,Investment!$H:$H,LEFT($P677,30)&amp;"*"),),)</f>
        <v/>
      </c>
      <c r="P677" s="299"/>
      <c r="R677" s="52"/>
    </row>
    <row r="678">
      <c r="A678" s="122">
        <v>40668.0</v>
      </c>
      <c r="B678" s="245"/>
      <c r="C678" s="332" t="s">
        <v>1442</v>
      </c>
      <c r="D678" s="245" t="s">
        <v>330</v>
      </c>
      <c r="E678" s="30">
        <v>555.0</v>
      </c>
      <c r="F678" s="264">
        <f t="shared" si="685"/>
        <v>15.58</v>
      </c>
      <c r="G678" s="128">
        <v>-8646.9</v>
      </c>
      <c r="H678" s="318" t="str">
        <f t="shared" si="670"/>
        <v>FRANCE TELECOM@BUY@555@-8646.9</v>
      </c>
      <c r="I678" s="138" t="str">
        <f t="shared" ref="I678:J678" si="686">IFS(AND($B678&lt;&gt;"",$E678&lt;&gt;""),IF(INDEX(N:N,MATCH($C678,$P:$P,0),1)&lt;&gt;"",$E678*INDEX(N:N,MATCH($C678,$P:$P,0),1)+$G678,""),AND($B678&lt;&gt;"",$D678="COST",$G678&lt;0),$G678,TRUE,)</f>
        <v/>
      </c>
      <c r="J678" s="138" t="str">
        <f t="shared" si="686"/>
        <v/>
      </c>
      <c r="K678" s="266" t="str">
        <f t="shared" si="3"/>
        <v>FRANCE TELECOM</v>
      </c>
      <c r="L678" s="156">
        <f t="shared" si="4"/>
        <v>0</v>
      </c>
      <c r="M678" s="156">
        <f t="shared" si="5"/>
        <v>1049.82</v>
      </c>
      <c r="N678" s="155" t="str">
        <f>IF($P678&lt;&gt;"",IF(MAXIFS(Investment!$M:$M,Investment!$H:$H,LEFT($P678,30)&amp;"*"),MAXIFS(Investment!$M:$M,Investment!$H:$H,LEFT($P678,30)&amp;"*"),),)</f>
        <v/>
      </c>
      <c r="O678" s="158" t="str">
        <f>IF($P678&lt;&gt;"",IF(MAXIFS(Investment!$AH:$AH,Investment!$H:$H,LEFT($P678,30)&amp;"*"),MAXIFS(Investment!$AH:$AH,Investment!$H:$H,LEFT($P678,30)&amp;"*"),),)</f>
        <v/>
      </c>
      <c r="P678" s="48"/>
      <c r="Q678" s="52"/>
    </row>
    <row r="679">
      <c r="A679" s="122">
        <v>40639.0</v>
      </c>
      <c r="B679" s="336"/>
      <c r="C679" s="337"/>
      <c r="D679" s="338" t="s">
        <v>312</v>
      </c>
      <c r="E679" s="338"/>
      <c r="F679" s="264"/>
      <c r="G679" s="128">
        <f>10000-133.41</f>
        <v>9866.59</v>
      </c>
      <c r="H679" s="318" t="str">
        <f t="shared" si="670"/>
        <v>@APPROVISIONNEMENT@@9866.59</v>
      </c>
      <c r="I679" s="138" t="str">
        <f t="shared" ref="I679:J679" si="687">IFS(AND($B679&lt;&gt;"",$E679&lt;&gt;""),IF(INDEX(N:N,MATCH($C679,$P:$P,0),1)&lt;&gt;"",$E679*INDEX(N:N,MATCH($C679,$P:$P,0),1)+$G679,""),AND($B679&lt;&gt;"",$D679="COST",$G679&lt;0),$G679,TRUE,)</f>
        <v/>
      </c>
      <c r="J679" s="138" t="str">
        <f t="shared" si="687"/>
        <v/>
      </c>
      <c r="K679" s="266" t="str">
        <f t="shared" si="3"/>
        <v/>
      </c>
      <c r="L679" s="156" t="str">
        <f t="shared" si="4"/>
        <v/>
      </c>
      <c r="M679" s="156" t="str">
        <f t="shared" si="5"/>
        <v/>
      </c>
      <c r="N679" s="155" t="str">
        <f>IF($P679&lt;&gt;"",IF(MAXIFS(Investment!$M:$M,Investment!$H:$H,LEFT($P679,30)&amp;"*"),MAXIFS(Investment!$M:$M,Investment!$H:$H,LEFT($P679,30)&amp;"*"),),)</f>
        <v/>
      </c>
      <c r="O679" s="158" t="str">
        <f>IF($P679&lt;&gt;"",IF(MAXIFS(Investment!$AH:$AH,Investment!$H:$H,LEFT($P679,30)&amp;"*"),MAXIFS(Investment!$AH:$AH,Investment!$H:$H,LEFT($P679,30)&amp;"*"),),)</f>
        <v/>
      </c>
      <c r="P679" s="299"/>
      <c r="R679" s="52"/>
    </row>
  </sheetData>
  <autoFilter ref="$A$1:$J$679"/>
  <conditionalFormatting sqref="I2:J679">
    <cfRule type="cellIs" dxfId="4" priority="1" operator="greaterThan">
      <formula>0.01</formula>
    </cfRule>
  </conditionalFormatting>
  <conditionalFormatting sqref="I2:J679">
    <cfRule type="cellIs" dxfId="5" priority="2" operator="lessThan">
      <formula>-0.01</formula>
    </cfRule>
  </conditionalFormatting>
  <conditionalFormatting sqref="A1:G679">
    <cfRule type="expression" dxfId="12" priority="3">
      <formula>$H1="XXXXXX"</formula>
    </cfRule>
  </conditionalFormatting>
  <drawing r:id="rId2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2.75"/>
  <cols>
    <col customWidth="1" min="1" max="1" width="10.57"/>
    <col customWidth="1" min="2" max="2" width="7.43"/>
    <col customWidth="1" min="3" max="3" width="6.43"/>
    <col customWidth="1" min="4" max="4" width="7.14"/>
    <col customWidth="1" min="5" max="5" width="9.14"/>
    <col customWidth="1" min="6" max="6" width="10.57"/>
    <col customWidth="1" min="7" max="7" width="11.57"/>
    <col customWidth="1" min="8" max="9" width="11.0"/>
    <col customWidth="1" min="10" max="10" width="12.0"/>
  </cols>
  <sheetData>
    <row r="1">
      <c r="A1" s="1" t="s">
        <v>0</v>
      </c>
      <c r="B1" s="1" t="s">
        <v>286</v>
      </c>
      <c r="C1" s="1" t="s">
        <v>475</v>
      </c>
      <c r="D1" s="1" t="s">
        <v>287</v>
      </c>
      <c r="E1" s="1" t="s">
        <v>476</v>
      </c>
      <c r="F1" s="1" t="s">
        <v>477</v>
      </c>
      <c r="G1" s="1" t="s">
        <v>478</v>
      </c>
      <c r="H1" s="1" t="s">
        <v>258</v>
      </c>
      <c r="I1" s="1" t="s">
        <v>259</v>
      </c>
      <c r="J1" s="1" t="s">
        <v>33</v>
      </c>
    </row>
    <row r="2">
      <c r="A2" s="240">
        <f>DateTime!$B$1-TIME(2,0,0)</f>
        <v>43643.80672</v>
      </c>
      <c r="B2" s="241">
        <f>Dashboard!$B$40</f>
        <v>0.1778337694</v>
      </c>
      <c r="C2" s="241">
        <f>Dashboard!$B$42</f>
        <v>0.05340296564</v>
      </c>
      <c r="D2" s="241">
        <f>Dashboard!$B$38</f>
        <v>0.2104122452</v>
      </c>
      <c r="E2" s="242">
        <f>$F2/Dashboard!$B$34</f>
        <v>0.00511880405</v>
      </c>
      <c r="F2" s="138">
        <f>$G2-$G3</f>
        <v>3704.651</v>
      </c>
      <c r="G2" s="138">
        <f>Dashboard!$B$37</f>
        <v>79217.781</v>
      </c>
      <c r="H2" s="138">
        <f>SUM(Historic!I:I)</f>
        <v>78717.091</v>
      </c>
      <c r="I2" s="138">
        <f>SUM(Historic!J:J)</f>
        <v>36039.42703</v>
      </c>
      <c r="J2" s="138">
        <f>Dashboard!$B$36</f>
        <v>304074.311</v>
      </c>
    </row>
    <row r="3">
      <c r="A3" s="122">
        <v>43642.97556438658</v>
      </c>
      <c r="B3" s="243">
        <v>0.17735816119953313</v>
      </c>
      <c r="C3" s="243">
        <v>0.04403856161474534</v>
      </c>
      <c r="D3" s="243">
        <v>0.20057223296169732</v>
      </c>
      <c r="E3" s="244">
        <v>-0.004115014596040745</v>
      </c>
      <c r="F3" s="128">
        <v>-2977.3439999999246</v>
      </c>
      <c r="G3" s="128">
        <v>75513.12999999992</v>
      </c>
      <c r="H3" s="128">
        <v>78538.03</v>
      </c>
      <c r="I3" s="128">
        <v>36061.45843105468</v>
      </c>
      <c r="J3" s="128">
        <v>302369.66</v>
      </c>
    </row>
    <row r="4">
      <c r="A4" s="122">
        <v>43641.975582847226</v>
      </c>
      <c r="B4" s="243">
        <v>0.185404717628162</v>
      </c>
      <c r="C4" s="243">
        <v>0.04407145075710139</v>
      </c>
      <c r="D4" s="243">
        <v>0.20863612626244132</v>
      </c>
      <c r="E4" s="244">
        <v>0.0028651145823673195</v>
      </c>
      <c r="F4" s="128">
        <v>2081.53199999989</v>
      </c>
      <c r="G4" s="128">
        <v>78490.47399999984</v>
      </c>
      <c r="H4" s="128">
        <v>81515.37400000004</v>
      </c>
      <c r="I4" s="128">
        <v>35831.28850917972</v>
      </c>
      <c r="J4" s="128">
        <v>305347.0039999999</v>
      </c>
    </row>
    <row r="5">
      <c r="A5" s="122">
        <v>43640.97553373843</v>
      </c>
      <c r="B5" s="243">
        <v>0.1800062148977896</v>
      </c>
      <c r="C5" s="243">
        <v>0.0441043890611052</v>
      </c>
      <c r="D5" s="243">
        <v>0.20325498631879108</v>
      </c>
      <c r="E5" s="244">
        <v>-0.0031396138864800576</v>
      </c>
      <c r="F5" s="128">
        <v>-2277.8087499999674</v>
      </c>
      <c r="G5" s="128">
        <v>76408.94199999995</v>
      </c>
      <c r="H5" s="128">
        <v>79433.84200000003</v>
      </c>
      <c r="I5" s="128">
        <v>35436.05359511721</v>
      </c>
      <c r="J5" s="128">
        <v>301265.472</v>
      </c>
    </row>
    <row r="6">
      <c r="A6" s="122">
        <v>43637.97556229167</v>
      </c>
      <c r="B6" s="243">
        <v>0.18648352532436602</v>
      </c>
      <c r="C6" s="243">
        <v>0.044203500047759366</v>
      </c>
      <c r="D6" s="243">
        <v>0.20978454117552708</v>
      </c>
      <c r="E6" s="244">
        <v>-0.006877898818845924</v>
      </c>
      <c r="F6" s="128">
        <v>-4976.366000000038</v>
      </c>
      <c r="G6" s="128">
        <v>78686.75074999992</v>
      </c>
      <c r="H6" s="128">
        <v>81711.65074999997</v>
      </c>
      <c r="I6" s="128">
        <v>34688.664293359405</v>
      </c>
      <c r="J6" s="128">
        <v>303543.28075</v>
      </c>
    </row>
    <row r="7">
      <c r="A7" s="122">
        <v>43636.9755725463</v>
      </c>
      <c r="B7" s="243">
        <v>0.19990061355408326</v>
      </c>
      <c r="C7" s="243">
        <v>0.044236636104766684</v>
      </c>
      <c r="D7" s="243">
        <v>0.22321909643361845</v>
      </c>
      <c r="E7" s="244">
        <v>0.005914847577132598</v>
      </c>
      <c r="F7" s="128">
        <v>4309.003999999957</v>
      </c>
      <c r="G7" s="128">
        <v>83663.11674999996</v>
      </c>
      <c r="H7" s="128">
        <v>86688.01675000002</v>
      </c>
      <c r="I7" s="128">
        <v>34470.08723964848</v>
      </c>
      <c r="J7" s="128">
        <v>308519.64675</v>
      </c>
    </row>
    <row r="8">
      <c r="A8" s="122">
        <v>43635.97556789352</v>
      </c>
      <c r="B8" s="243">
        <v>0.18854522520828457</v>
      </c>
      <c r="C8" s="243">
        <v>0.044269821878288644</v>
      </c>
      <c r="D8" s="243">
        <v>0.21188120132328833</v>
      </c>
      <c r="E8" s="244">
        <v>-0.0053035492168685295</v>
      </c>
      <c r="F8" s="128">
        <v>-3840.8162500000326</v>
      </c>
      <c r="G8" s="128">
        <v>79354.11275</v>
      </c>
      <c r="H8" s="128">
        <v>82379.01274999994</v>
      </c>
      <c r="I8" s="128">
        <v>34207.264119531304</v>
      </c>
      <c r="J8" s="128">
        <v>304210.64275000006</v>
      </c>
    </row>
    <row r="9">
      <c r="A9" s="122">
        <v>43634.97548493056</v>
      </c>
      <c r="B9" s="243">
        <v>0.1989497310736472</v>
      </c>
      <c r="C9" s="243">
        <v>0.04430305748029937</v>
      </c>
      <c r="D9" s="243">
        <v>0.2223032266902388</v>
      </c>
      <c r="E9" s="244">
        <v>0.009722140470936443</v>
      </c>
      <c r="F9" s="128">
        <v>7078.089249999961</v>
      </c>
      <c r="G9" s="128">
        <v>83194.92900000003</v>
      </c>
      <c r="H9" s="128">
        <v>86219.82899999991</v>
      </c>
      <c r="I9" s="128">
        <v>33997.0893246094</v>
      </c>
      <c r="J9" s="128">
        <v>308051.4590000001</v>
      </c>
    </row>
    <row r="10">
      <c r="A10" s="122">
        <v>43633.97552681713</v>
      </c>
      <c r="B10" s="243">
        <v>0.18017179821649065</v>
      </c>
      <c r="C10" s="243">
        <v>0.04433634302310951</v>
      </c>
      <c r="D10" s="243">
        <v>0.2035428396599918</v>
      </c>
      <c r="E10" s="244">
        <v>-4.845205922721386E-4</v>
      </c>
      <c r="F10" s="128">
        <v>-349.31999999983236</v>
      </c>
      <c r="G10" s="128">
        <v>76116.83975000007</v>
      </c>
      <c r="H10" s="128">
        <v>79141.73975000007</v>
      </c>
      <c r="I10" s="128">
        <v>33724.811936914106</v>
      </c>
      <c r="J10" s="128">
        <v>300973.3697500001</v>
      </c>
    </row>
    <row r="11">
      <c r="A11" s="122">
        <v>43630.975530324074</v>
      </c>
      <c r="B11" s="243">
        <v>0.18151503410956074</v>
      </c>
      <c r="C11" s="243">
        <v>0.044436500424517134</v>
      </c>
      <c r="D11" s="243">
        <v>0.20493887158041918</v>
      </c>
      <c r="E11" s="244">
        <v>0.0077982073017924475</v>
      </c>
      <c r="F11" s="128">
        <v>5624.9201499999035</v>
      </c>
      <c r="G11" s="128">
        <v>76466.1597499999</v>
      </c>
      <c r="H11" s="128">
        <v>79491.05975000001</v>
      </c>
      <c r="I11" s="128">
        <v>33510.47816777353</v>
      </c>
      <c r="J11" s="128">
        <v>301231.3499000001</v>
      </c>
    </row>
    <row r="12">
      <c r="A12" s="122">
        <v>43629.975487916665</v>
      </c>
      <c r="B12" s="243">
        <v>0.16656497004071114</v>
      </c>
      <c r="C12" s="243">
        <v>0.04446998686040599</v>
      </c>
      <c r="D12" s="243">
        <v>0.19000645923536072</v>
      </c>
      <c r="E12" s="244">
        <v>0.0015740789382081297</v>
      </c>
      <c r="F12" s="128">
        <v>1126.5438500000164</v>
      </c>
      <c r="G12" s="128">
        <v>70841.2396</v>
      </c>
      <c r="H12" s="128">
        <v>73866.13959999997</v>
      </c>
      <c r="I12" s="128">
        <v>33272.358277539155</v>
      </c>
      <c r="J12" s="128">
        <v>295697.77960000007</v>
      </c>
    </row>
    <row r="13">
      <c r="A13" s="122">
        <v>43628.975554687495</v>
      </c>
      <c r="B13" s="243">
        <v>0.16461864734375686</v>
      </c>
      <c r="C13" s="243">
        <v>0.044762358810867285</v>
      </c>
      <c r="D13" s="243">
        <v>0.18821425472915543</v>
      </c>
      <c r="E13" s="244">
        <v>4.6791972764006237E-4</v>
      </c>
      <c r="F13" s="128">
        <v>334.3557499999879</v>
      </c>
      <c r="G13" s="128">
        <v>69714.69574999998</v>
      </c>
      <c r="H13" s="128">
        <v>72739.59575000007</v>
      </c>
      <c r="I13" s="128">
        <v>33057.69468984392</v>
      </c>
      <c r="J13" s="128">
        <v>294571.23575000005</v>
      </c>
    </row>
    <row r="14">
      <c r="A14" s="245">
        <v>43627.0</v>
      </c>
      <c r="B14" s="28">
        <v>0.1638</v>
      </c>
      <c r="C14" s="28">
        <v>0.0448</v>
      </c>
      <c r="D14" s="28">
        <v>0.1875</v>
      </c>
      <c r="E14" s="28">
        <v>-0.0045</v>
      </c>
      <c r="F14" s="246">
        <v>-3211.8</v>
      </c>
      <c r="G14" s="246">
        <v>69380.34</v>
      </c>
      <c r="H14" s="246">
        <v>72405.24</v>
      </c>
      <c r="I14" s="246">
        <v>32686.67</v>
      </c>
      <c r="J14" s="128">
        <v>294203.9470000002</v>
      </c>
    </row>
    <row r="15">
      <c r="A15" s="245">
        <v>43626.97555510417</v>
      </c>
      <c r="B15" s="28">
        <v>0.1726475103180996</v>
      </c>
      <c r="C15" s="28">
        <v>0.044829975667077054</v>
      </c>
      <c r="D15" s="28">
        <v>0.19627876061495647</v>
      </c>
      <c r="E15" s="28">
        <v>0.00224045601605541</v>
      </c>
      <c r="F15" s="246">
        <v>1574.6530000001658</v>
      </c>
      <c r="G15" s="246">
        <v>72592.13875000007</v>
      </c>
      <c r="H15" s="246">
        <v>75617.03874999995</v>
      </c>
      <c r="I15" s="246">
        <v>31529.8217494119</v>
      </c>
      <c r="J15" s="128">
        <v>297448.67875000014</v>
      </c>
    </row>
    <row r="16">
      <c r="A16" s="245">
        <v>43623.97553260416</v>
      </c>
      <c r="B16" s="28">
        <v>0.1687722612731783</v>
      </c>
      <c r="C16" s="28">
        <v>0.04493178484724453</v>
      </c>
      <c r="D16" s="28">
        <v>0.192457205400434</v>
      </c>
      <c r="E16" s="28">
        <v>0.002033533553704024</v>
      </c>
      <c r="F16" s="246">
        <v>1428.8839999999618</v>
      </c>
      <c r="G16" s="246">
        <v>71017.4857499999</v>
      </c>
      <c r="H16" s="246">
        <v>74042.36575</v>
      </c>
      <c r="I16" s="246">
        <v>31234.164903333476</v>
      </c>
      <c r="J16" s="128">
        <v>295874.00574999995</v>
      </c>
    </row>
    <row r="17">
      <c r="A17" s="245">
        <v>43622.97405748843</v>
      </c>
      <c r="B17" s="28">
        <v>0.16502491350886753</v>
      </c>
      <c r="C17" s="28">
        <v>0.04496582407818941</v>
      </c>
      <c r="D17" s="28">
        <v>0.1887278007756136</v>
      </c>
      <c r="E17" s="28">
        <v>0.002463543429456294</v>
      </c>
      <c r="F17" s="246">
        <v>1730.255000000121</v>
      </c>
      <c r="G17" s="246">
        <v>69588.60174999994</v>
      </c>
      <c r="H17" s="246">
        <v>72613.48175000005</v>
      </c>
      <c r="I17" s="246">
        <v>30945.086880784427</v>
      </c>
      <c r="J17" s="128">
        <v>294445.12175</v>
      </c>
    </row>
    <row r="18">
      <c r="A18" s="245">
        <v>43621.97554784722</v>
      </c>
      <c r="B18" s="28">
        <v>0.16045393061371013</v>
      </c>
      <c r="C18" s="28">
        <v>0.04499991492282791</v>
      </c>
      <c r="D18" s="28">
        <v>0.18417478822713307</v>
      </c>
      <c r="E18" s="28">
        <v>7.910948237736742E-4</v>
      </c>
      <c r="F18" s="246">
        <v>556.4552499998827</v>
      </c>
      <c r="G18" s="246">
        <v>67858.34674999982</v>
      </c>
      <c r="H18" s="246">
        <v>70883.22674999991</v>
      </c>
      <c r="I18" s="246">
        <v>30608.932203333454</v>
      </c>
      <c r="J18" s="128">
        <v>292714.86674999987</v>
      </c>
    </row>
    <row r="19">
      <c r="A19" s="245">
        <v>43620.97553408565</v>
      </c>
      <c r="B19" s="28">
        <v>0.15906424631163826</v>
      </c>
      <c r="C19" s="28">
        <v>0.045034057498641894</v>
      </c>
      <c r="D19" s="28">
        <v>0.18280310154085286</v>
      </c>
      <c r="E19" s="28">
        <v>-0.0019225061870781811</v>
      </c>
      <c r="F19" s="246">
        <v>-1351.21900000007</v>
      </c>
      <c r="G19" s="246">
        <v>67301.89149999994</v>
      </c>
      <c r="H19" s="246">
        <v>70326.77150000002</v>
      </c>
      <c r="I19" s="246">
        <v>30412.528133725646</v>
      </c>
      <c r="J19" s="128">
        <v>292158.4115</v>
      </c>
    </row>
    <row r="20">
      <c r="A20" s="245">
        <v>43619.97560135416</v>
      </c>
      <c r="B20" s="28">
        <v>0.16661725540956637</v>
      </c>
      <c r="C20" s="28">
        <v>0.041308915041726395</v>
      </c>
      <c r="D20" s="28">
        <v>0.18661482588634298</v>
      </c>
      <c r="E20" s="28">
        <v>-0.0016356364658857633</v>
      </c>
      <c r="F20" s="246">
        <v>-1153.443099999975</v>
      </c>
      <c r="G20" s="246">
        <v>68653.11050000001</v>
      </c>
      <c r="H20" s="246">
        <v>71667.97049999997</v>
      </c>
      <c r="I20" s="246">
        <v>30148.700712156955</v>
      </c>
      <c r="J20" s="128">
        <v>293772.80050000007</v>
      </c>
    </row>
    <row r="21">
      <c r="A21" s="245">
        <v>43616.97553696759</v>
      </c>
      <c r="B21" s="28">
        <v>0.1763352985939308</v>
      </c>
      <c r="C21" s="28">
        <v>0.043305704322275276</v>
      </c>
      <c r="D21" s="28">
        <v>0.19892228531675066</v>
      </c>
      <c r="E21" s="28">
        <v>0.002728956809995603</v>
      </c>
      <c r="F21" s="246">
        <v>1953.190100000007</v>
      </c>
      <c r="G21" s="246">
        <v>69806.55359999998</v>
      </c>
      <c r="H21" s="246">
        <v>73644.9636</v>
      </c>
      <c r="I21" s="246">
        <v>29068.153820392323</v>
      </c>
      <c r="J21" s="128">
        <v>294763.07360000006</v>
      </c>
    </row>
    <row r="22">
      <c r="A22" s="245">
        <v>43615.97552291666</v>
      </c>
      <c r="B22" s="28">
        <v>0.1708995057772049</v>
      </c>
      <c r="C22" s="28">
        <v>0.04333868657994647</v>
      </c>
      <c r="D22" s="28">
        <v>0.1935036950794024</v>
      </c>
      <c r="E22" s="28">
        <v>-3.4930420178291626E-4</v>
      </c>
      <c r="F22" s="246">
        <v>-252.67249999998603</v>
      </c>
      <c r="G22" s="246">
        <v>67853.36349999998</v>
      </c>
      <c r="H22" s="246">
        <v>71691.77349999998</v>
      </c>
      <c r="I22" s="246">
        <v>27963.792329411877</v>
      </c>
      <c r="J22" s="128">
        <v>292809.88350000005</v>
      </c>
    </row>
    <row r="23">
      <c r="A23" s="245">
        <v>43614.97553484954</v>
      </c>
      <c r="B23" s="28">
        <v>0.1717508832346325</v>
      </c>
      <c r="C23" s="28">
        <v>0.04337171911544947</v>
      </c>
      <c r="D23" s="28">
        <v>0.1943723013396518</v>
      </c>
      <c r="E23" s="28">
        <v>0.0031059607601716535</v>
      </c>
      <c r="F23" s="246">
        <v>2247.510899999994</v>
      </c>
      <c r="G23" s="246">
        <v>68106.03599999996</v>
      </c>
      <c r="H23" s="246">
        <v>71944.44599999995</v>
      </c>
      <c r="I23" s="246">
        <v>27761.538468627554</v>
      </c>
      <c r="J23" s="128">
        <v>293062.55600000004</v>
      </c>
    </row>
    <row r="24">
      <c r="A24" s="245">
        <v>43613.9755316088</v>
      </c>
      <c r="B24" s="28">
        <v>0.16546267871135467</v>
      </c>
      <c r="C24" s="28">
        <v>0.043404802043836545</v>
      </c>
      <c r="D24" s="28">
        <v>0.18810135190264782</v>
      </c>
      <c r="E24" s="28">
        <v>0.002944074793583642</v>
      </c>
      <c r="F24" s="246">
        <v>2136.8331999998773</v>
      </c>
      <c r="G24" s="246">
        <v>65858.52509999997</v>
      </c>
      <c r="H24" s="246">
        <v>69696.93509999999</v>
      </c>
      <c r="I24" s="246">
        <v>27141.829678823648</v>
      </c>
      <c r="J24" s="128">
        <v>290815.04510000005</v>
      </c>
    </row>
    <row r="25">
      <c r="A25" s="245">
        <v>43612.975542280095</v>
      </c>
      <c r="B25" s="28">
        <v>0.15948122649751187</v>
      </c>
      <c r="C25" s="28">
        <v>0.043437935480511225</v>
      </c>
      <c r="D25" s="28">
        <v>0.18213718111872204</v>
      </c>
      <c r="E25" s="28">
        <v>0.0037820938841018176</v>
      </c>
      <c r="F25" s="246">
        <v>2741.2140000000363</v>
      </c>
      <c r="G25" s="246">
        <v>63721.69190000009</v>
      </c>
      <c r="H25" s="246">
        <v>67560.10190000001</v>
      </c>
      <c r="I25" s="246">
        <v>26848.42142352953</v>
      </c>
      <c r="J25" s="128">
        <v>288678.21190000017</v>
      </c>
    </row>
    <row r="26">
      <c r="A26" s="245">
        <v>43609.975521319444</v>
      </c>
      <c r="B26" s="28">
        <v>0.15199402924973568</v>
      </c>
      <c r="C26" s="28">
        <v>0.04353763999959427</v>
      </c>
      <c r="D26" s="28">
        <v>0.17470198682723018</v>
      </c>
      <c r="E26" s="28">
        <v>-0.00276864961480386</v>
      </c>
      <c r="F26" s="246">
        <v>-1999.0928999999305</v>
      </c>
      <c r="G26" s="246">
        <v>60980.477900000056</v>
      </c>
      <c r="H26" s="246">
        <v>64818.88789999999</v>
      </c>
      <c r="I26" s="246">
        <v>26649.723949411862</v>
      </c>
      <c r="J26" s="128">
        <v>285936.99790000013</v>
      </c>
    </row>
    <row r="27">
      <c r="A27" s="245">
        <v>43608.97554622685</v>
      </c>
      <c r="B27" s="28">
        <v>0.1578419648451121</v>
      </c>
      <c r="C27" s="28">
        <v>0.04357097663052811</v>
      </c>
      <c r="D27" s="28">
        <v>0.1805673098326966</v>
      </c>
      <c r="E27" s="28">
        <v>7.35091349139296E-4</v>
      </c>
      <c r="F27" s="246">
        <v>533.0239999999758</v>
      </c>
      <c r="G27" s="246">
        <v>62979.57079999999</v>
      </c>
      <c r="H27" s="246">
        <v>66817.98079999999</v>
      </c>
      <c r="I27" s="246">
        <v>26354.61580941186</v>
      </c>
      <c r="J27" s="128">
        <v>287936.09080000006</v>
      </c>
    </row>
    <row r="28">
      <c r="A28" s="245">
        <v>43607.97554151621</v>
      </c>
      <c r="B28" s="28">
        <v>0.15643352437909475</v>
      </c>
      <c r="C28" s="28">
        <v>0.04360436435208407</v>
      </c>
      <c r="D28" s="28">
        <v>0.17917628342414094</v>
      </c>
      <c r="E28" s="28">
        <v>0.0014780397541706656</v>
      </c>
      <c r="F28" s="246">
        <v>1076.1509999999544</v>
      </c>
      <c r="G28" s="246">
        <v>62446.54680000001</v>
      </c>
      <c r="H28" s="246">
        <v>66284.95680000001</v>
      </c>
      <c r="I28" s="246">
        <v>25841.25817490196</v>
      </c>
      <c r="J28" s="128">
        <v>287403.0668000001</v>
      </c>
    </row>
    <row r="29">
      <c r="A29" s="245">
        <v>43606.97556091435</v>
      </c>
      <c r="B29" s="28">
        <v>0.1534633482079454</v>
      </c>
      <c r="C29" s="28">
        <v>0.043637803281801925</v>
      </c>
      <c r="D29" s="28">
        <v>0.17622354801913045</v>
      </c>
      <c r="E29" s="28">
        <v>9.540750160554265E-4</v>
      </c>
      <c r="F29" s="246">
        <v>693.6289999999572</v>
      </c>
      <c r="G29" s="246">
        <v>61370.39580000006</v>
      </c>
      <c r="H29" s="246">
        <v>65208.80580000002</v>
      </c>
      <c r="I29" s="246">
        <v>25594.786854117778</v>
      </c>
      <c r="J29" s="128">
        <v>286326.91580000013</v>
      </c>
    </row>
    <row r="30">
      <c r="A30" s="245">
        <v>43605.97554951389</v>
      </c>
      <c r="B30" s="28">
        <v>0.15158785833745853</v>
      </c>
      <c r="C30" s="28">
        <v>0.04367129353758228</v>
      </c>
      <c r="D30" s="28">
        <v>0.17436552568495303</v>
      </c>
      <c r="E30" s="28">
        <v>-0.004111311941146843</v>
      </c>
      <c r="F30" s="246">
        <v>-2986.1429999999236</v>
      </c>
      <c r="G30" s="246">
        <v>60676.7668000001</v>
      </c>
      <c r="H30" s="246">
        <v>64515.17679999997</v>
      </c>
      <c r="I30" s="246">
        <v>25351.47741568637</v>
      </c>
      <c r="J30" s="128">
        <v>285633.2868000002</v>
      </c>
    </row>
    <row r="31">
      <c r="A31" s="245">
        <v>43602.975541527776</v>
      </c>
      <c r="B31" s="28">
        <v>0.16053869448323677</v>
      </c>
      <c r="C31" s="28">
        <v>0.04377207344574593</v>
      </c>
      <c r="D31" s="28">
        <v>0.18336892567845622</v>
      </c>
      <c r="E31" s="28">
        <v>1.493604014522835E-5</v>
      </c>
      <c r="F31" s="246">
        <v>10.893000000040047</v>
      </c>
      <c r="G31" s="246">
        <v>63662.90980000002</v>
      </c>
      <c r="H31" s="246">
        <v>67501.31979999997</v>
      </c>
      <c r="I31" s="246">
        <v>25106.27583607856</v>
      </c>
      <c r="J31" s="128">
        <v>288619.4298000001</v>
      </c>
    </row>
    <row r="32">
      <c r="A32" s="245">
        <v>43601.97555957176</v>
      </c>
      <c r="B32" s="28">
        <v>0.16063088148122776</v>
      </c>
      <c r="C32" s="28">
        <v>0.043805770192047504</v>
      </c>
      <c r="D32" s="28">
        <v>0.18347868791216332</v>
      </c>
      <c r="E32" s="28">
        <v>0.0034880761247867323</v>
      </c>
      <c r="F32" s="246">
        <v>2543.8499999998603</v>
      </c>
      <c r="G32" s="246">
        <v>63652.01679999998</v>
      </c>
      <c r="H32" s="246">
        <v>67490.42680000002</v>
      </c>
      <c r="I32" s="246">
        <v>24542.85803643428</v>
      </c>
      <c r="J32" s="128">
        <v>288608.53680000006</v>
      </c>
    </row>
    <row r="33">
      <c r="A33" s="245">
        <v>43600.97568125</v>
      </c>
      <c r="B33" s="28">
        <v>0.15341626730013985</v>
      </c>
      <c r="C33" s="28">
        <v>0.04383951885937574</v>
      </c>
      <c r="D33" s="28">
        <v>0.17628167604727799</v>
      </c>
      <c r="E33" s="28">
        <v>0.003842000257355614</v>
      </c>
      <c r="F33" s="246">
        <v>2792.1930000000866</v>
      </c>
      <c r="G33" s="246">
        <v>61108.16680000012</v>
      </c>
      <c r="H33" s="246">
        <v>56607.606800000045</v>
      </c>
      <c r="I33" s="246">
        <v>24375.746873930053</v>
      </c>
      <c r="J33" s="128">
        <v>286064.6868000002</v>
      </c>
    </row>
    <row r="34">
      <c r="A34" s="245">
        <v>43599.97562747685</v>
      </c>
      <c r="B34" s="28">
        <v>0.14547356865254268</v>
      </c>
      <c r="C34" s="28">
        <v>0.043873319567825524</v>
      </c>
      <c r="D34" s="28">
        <v>0.16835660685900783</v>
      </c>
      <c r="E34" s="28">
        <v>0.00433074523900956</v>
      </c>
      <c r="F34" s="246">
        <v>3139.9097999999067</v>
      </c>
      <c r="G34" s="246">
        <v>58315.973800000036</v>
      </c>
      <c r="H34" s="246">
        <v>53815.41379999997</v>
      </c>
      <c r="I34" s="246">
        <v>24146.09558515637</v>
      </c>
      <c r="J34" s="128">
        <v>283272.4938000001</v>
      </c>
    </row>
    <row r="35">
      <c r="A35" s="245">
        <v>43598.97569363426</v>
      </c>
      <c r="B35" s="28">
        <v>0.13651398937452033</v>
      </c>
      <c r="C35" s="28">
        <v>0.04390717243786243</v>
      </c>
      <c r="D35" s="28">
        <v>0.15941468424626828</v>
      </c>
      <c r="E35" s="28">
        <v>0.0014832185940067387</v>
      </c>
      <c r="F35" s="246">
        <v>1065.8420000000624</v>
      </c>
      <c r="G35" s="246">
        <v>55176.06400000013</v>
      </c>
      <c r="H35" s="246">
        <v>50675.504000000015</v>
      </c>
      <c r="I35" s="246">
        <v>23974.12714960644</v>
      </c>
      <c r="J35" s="128">
        <v>280132.5840000002</v>
      </c>
    </row>
    <row r="36">
      <c r="A36" s="245">
        <v>43595.97561037037</v>
      </c>
      <c r="B36" s="28">
        <v>0.13374415160900405</v>
      </c>
      <c r="C36" s="28">
        <v>0.04400904522774146</v>
      </c>
      <c r="D36" s="28">
        <v>0.15669798034356344</v>
      </c>
      <c r="E36" s="28">
        <v>-1.9834180599040716E-4</v>
      </c>
      <c r="F36" s="246">
        <v>-142.77700000000186</v>
      </c>
      <c r="G36" s="246">
        <v>54110.22200000007</v>
      </c>
      <c r="H36" s="246">
        <v>49609.66199999998</v>
      </c>
      <c r="I36" s="246">
        <v>23578.648188976484</v>
      </c>
      <c r="J36" s="128">
        <v>279566.74200000014</v>
      </c>
    </row>
    <row r="37">
      <c r="A37" s="245">
        <v>43594.975676284725</v>
      </c>
      <c r="B37" s="28">
        <v>0.1342614571877629</v>
      </c>
      <c r="C37" s="28">
        <v>0.04404310795624591</v>
      </c>
      <c r="D37" s="28">
        <v>0.1572330520436339</v>
      </c>
      <c r="E37" s="28">
        <v>-0.007449758832638305</v>
      </c>
      <c r="F37" s="246">
        <v>-5363.7970000000205</v>
      </c>
      <c r="G37" s="246">
        <v>54252.99900000007</v>
      </c>
      <c r="H37" s="246">
        <v>49752.43900000002</v>
      </c>
      <c r="I37" s="246">
        <v>23350.269874015867</v>
      </c>
      <c r="J37" s="128">
        <v>279709.51900000015</v>
      </c>
    </row>
    <row r="38">
      <c r="A38" s="245">
        <v>43593.975623425926</v>
      </c>
      <c r="B38" s="28">
        <v>0.14992255720748204</v>
      </c>
      <c r="C38" s="28">
        <v>0.04407722345427553</v>
      </c>
      <c r="D38" s="28">
        <v>0.17291194570770307</v>
      </c>
      <c r="E38" s="28">
        <v>-0.001734147526355597</v>
      </c>
      <c r="F38" s="246">
        <v>-1257.8810000000522</v>
      </c>
      <c r="G38" s="246">
        <v>59616.79600000009</v>
      </c>
      <c r="H38" s="246">
        <v>55116.23599999998</v>
      </c>
      <c r="I38" s="246">
        <v>23121.217169291413</v>
      </c>
      <c r="J38" s="128">
        <v>285073.31600000017</v>
      </c>
    </row>
    <row r="39">
      <c r="A39" s="245">
        <v>43592.97561809028</v>
      </c>
      <c r="B39" s="28">
        <v>0.15368994961282198</v>
      </c>
      <c r="C39" s="28">
        <v>0.044111391844550166</v>
      </c>
      <c r="D39" s="28">
        <v>0.17669715934443847</v>
      </c>
      <c r="E39" s="28">
        <v>4.982025248714331E-4</v>
      </c>
      <c r="F39" s="246">
        <v>364.29530000011437</v>
      </c>
      <c r="G39" s="246">
        <v>60874.67700000014</v>
      </c>
      <c r="H39" s="246">
        <v>56374.11700000002</v>
      </c>
      <c r="I39" s="246">
        <v>22551.249881889853</v>
      </c>
      <c r="J39" s="128">
        <v>286331.1970000002</v>
      </c>
    </row>
    <row r="40">
      <c r="A40" s="245">
        <v>43591.975612152775</v>
      </c>
      <c r="B40" s="28">
        <v>0.15275094376438997</v>
      </c>
      <c r="C40" s="28">
        <v>0.044145613250170454</v>
      </c>
      <c r="D40" s="28">
        <v>0.1757760023786532</v>
      </c>
      <c r="E40" s="28">
        <v>-5.621038966049825E-4</v>
      </c>
      <c r="F40" s="246">
        <v>-411.4688333332888</v>
      </c>
      <c r="G40" s="246">
        <v>60510.38170000003</v>
      </c>
      <c r="H40" s="246">
        <v>56009.8217</v>
      </c>
      <c r="I40" s="246">
        <v>22205.77880354339</v>
      </c>
      <c r="J40" s="128">
        <v>285966.9017000001</v>
      </c>
    </row>
    <row r="41">
      <c r="A41" s="245">
        <v>43588.97567346065</v>
      </c>
      <c r="B41" s="28">
        <v>0.15429805461936905</v>
      </c>
      <c r="C41" s="28">
        <v>0.04424859679585514</v>
      </c>
      <c r="D41" s="28">
        <v>0.17738411530610107</v>
      </c>
      <c r="E41" s="28">
        <v>0.004151441443614708</v>
      </c>
      <c r="F41" s="246">
        <v>3061.0572000000393</v>
      </c>
      <c r="G41" s="246">
        <v>60921.850533333316</v>
      </c>
      <c r="H41" s="246">
        <v>56418.78720000007</v>
      </c>
      <c r="I41" s="246">
        <v>21619.40184015759</v>
      </c>
      <c r="J41" s="128">
        <v>286375.86720000004</v>
      </c>
    </row>
    <row r="42">
      <c r="A42" s="245">
        <v>43587.97564416667</v>
      </c>
      <c r="B42" s="28">
        <v>0.14549841700821908</v>
      </c>
      <c r="C42" s="28">
        <v>0.04428303150153285</v>
      </c>
      <c r="D42" s="28">
        <v>0.16860244350093304</v>
      </c>
      <c r="E42" s="28">
        <v>-0.002543957247593961</v>
      </c>
      <c r="F42" s="246">
        <v>-1871.117366666731</v>
      </c>
      <c r="G42" s="246">
        <v>57860.79333333328</v>
      </c>
      <c r="H42" s="246">
        <v>53357.73000000002</v>
      </c>
      <c r="I42" s="246">
        <v>21258.77670748044</v>
      </c>
      <c r="J42" s="128">
        <v>284365.23000000004</v>
      </c>
    </row>
    <row r="43">
      <c r="A43" s="245">
        <v>43585.975535219906</v>
      </c>
      <c r="B43" s="28">
        <v>0.15679535711783452</v>
      </c>
      <c r="C43" s="28">
        <v>0.04648933063111279</v>
      </c>
      <c r="D43" s="28">
        <v>0.18272662668687267</v>
      </c>
      <c r="E43" s="28">
        <v>-0.003929887294238058</v>
      </c>
      <c r="F43" s="246">
        <v>-2895.6889999998966</v>
      </c>
      <c r="G43" s="246">
        <v>59731.91070000001</v>
      </c>
      <c r="H43" s="246">
        <v>54680.9307</v>
      </c>
      <c r="I43" s="246">
        <v>20844.664183137338</v>
      </c>
      <c r="J43" s="128">
        <v>285688.4307000001</v>
      </c>
    </row>
    <row r="44">
      <c r="A44" s="245">
        <v>43584.97560777778</v>
      </c>
      <c r="B44" s="28">
        <v>0.16578281011959256</v>
      </c>
      <c r="C44" s="28">
        <v>0.04652559375953019</v>
      </c>
      <c r="D44" s="28">
        <v>0.19173430688798254</v>
      </c>
      <c r="E44" s="28">
        <v>-0.002216751453070978</v>
      </c>
      <c r="F44" s="246">
        <v>-1639.8050000000512</v>
      </c>
      <c r="G44" s="246">
        <v>62627.599699999904</v>
      </c>
      <c r="H44" s="246">
        <v>57576.61970000005</v>
      </c>
      <c r="I44" s="246">
        <v>20678.61994488193</v>
      </c>
      <c r="J44" s="128">
        <v>288584.1197</v>
      </c>
    </row>
    <row r="45">
      <c r="A45" s="245">
        <v>43581.97563049768</v>
      </c>
      <c r="B45" s="28">
        <v>0.17120373415945572</v>
      </c>
      <c r="C45" s="28">
        <v>0.04663472337741807</v>
      </c>
      <c r="D45" s="28">
        <v>0.19721607161736368</v>
      </c>
      <c r="E45" s="28">
        <v>6.983385537771269E-4</v>
      </c>
      <c r="F45" s="246">
        <v>518.6040000000503</v>
      </c>
      <c r="G45" s="246">
        <v>64267.404699999955</v>
      </c>
      <c r="H45" s="246">
        <v>59216.43469999997</v>
      </c>
      <c r="I45" s="246">
        <v>20256.32217440947</v>
      </c>
      <c r="J45" s="128">
        <v>290223.93470000004</v>
      </c>
    </row>
    <row r="46">
      <c r="A46" s="245">
        <v>43580.975545625</v>
      </c>
      <c r="B46" s="28">
        <v>0.16974502164467206</v>
      </c>
      <c r="C46" s="28">
        <v>0.04667121377129712</v>
      </c>
      <c r="D46" s="28">
        <v>0.19577771304425287</v>
      </c>
      <c r="E46" s="28">
        <v>0.003922892665384001</v>
      </c>
      <c r="F46" s="246">
        <v>2911.205600000103</v>
      </c>
      <c r="G46" s="246">
        <v>63748.800699999905</v>
      </c>
      <c r="H46" s="246">
        <v>58697.830699999984</v>
      </c>
      <c r="I46" s="246">
        <v>19925.852817322844</v>
      </c>
      <c r="J46" s="128">
        <v>289705.3307</v>
      </c>
    </row>
    <row r="47">
      <c r="A47" s="245">
        <v>43579.89794879629</v>
      </c>
      <c r="B47" s="28">
        <v>0.16105651887172234</v>
      </c>
      <c r="C47" s="28">
        <v>0.0467443661439794</v>
      </c>
      <c r="D47" s="28">
        <v>0.18713001386283856</v>
      </c>
      <c r="E47" s="28">
        <v>0.005808953666220856</v>
      </c>
      <c r="F47" s="246">
        <v>4307.0945000000065</v>
      </c>
      <c r="G47" s="246">
        <v>60837.5950999998</v>
      </c>
      <c r="H47" s="246">
        <v>55786.625100000056</v>
      </c>
      <c r="I47" s="246">
        <v>19255.625026274596</v>
      </c>
      <c r="J47" s="128">
        <v>286794.1250999999</v>
      </c>
    </row>
    <row r="48">
      <c r="A48" s="245">
        <v>43578.97560277778</v>
      </c>
      <c r="B48" s="28">
        <v>0.14780835131728923</v>
      </c>
      <c r="C48" s="28">
        <v>0.0467443661439794</v>
      </c>
      <c r="D48" s="28">
        <v>0.17388184630840545</v>
      </c>
      <c r="E48" s="28">
        <v>0.004399806397940702</v>
      </c>
      <c r="F48" s="246">
        <v>3284.6078000001144</v>
      </c>
      <c r="G48" s="246">
        <v>56530.500599999796</v>
      </c>
      <c r="H48" s="246">
        <v>51479.53059999993</v>
      </c>
      <c r="I48" s="246">
        <v>18458.469837007968</v>
      </c>
      <c r="J48" s="128">
        <v>282487.0305999999</v>
      </c>
    </row>
    <row r="49">
      <c r="A49" s="245">
        <v>43573.97544317129</v>
      </c>
      <c r="B49" s="28">
        <v>0.13824696488847563</v>
      </c>
      <c r="C49" s="28">
        <v>0.04692825428774013</v>
      </c>
      <c r="D49" s="28">
        <v>0.16442303067027286</v>
      </c>
      <c r="E49" s="28">
        <v>0.006392996938030246</v>
      </c>
      <c r="F49" s="246">
        <v>4766.672299999991</v>
      </c>
      <c r="G49" s="246">
        <v>53245.89279999968</v>
      </c>
      <c r="H49" s="246">
        <v>48208.7028</v>
      </c>
      <c r="I49" s="246">
        <v>17688.203531250118</v>
      </c>
      <c r="J49" s="128">
        <v>279216.2027999999</v>
      </c>
    </row>
    <row r="50">
      <c r="A50" s="245">
        <v>43572.97561418981</v>
      </c>
      <c r="B50" s="28">
        <v>0.12362474130469611</v>
      </c>
      <c r="C50" s="28">
        <v>0.0468940949641638</v>
      </c>
      <c r="D50" s="28">
        <v>0.14982144906617323</v>
      </c>
      <c r="E50" s="28">
        <v>-7.941402535999017E-4</v>
      </c>
      <c r="F50" s="246">
        <v>-592.1540000000969</v>
      </c>
      <c r="G50" s="246">
        <v>48479.22049999969</v>
      </c>
      <c r="H50" s="246">
        <v>43428.240500000014</v>
      </c>
      <c r="I50" s="246">
        <v>17089.669845703214</v>
      </c>
      <c r="J50" s="128">
        <v>274465.65049999993</v>
      </c>
    </row>
    <row r="51">
      <c r="A51" s="245">
        <v>43571.97564483796</v>
      </c>
      <c r="B51" s="28">
        <v>0.1255536106010848</v>
      </c>
      <c r="C51" s="28">
        <v>0.046931048545695846</v>
      </c>
      <c r="D51" s="28">
        <v>0.1517709619462983</v>
      </c>
      <c r="E51" s="28">
        <v>-0.0015817873340589915</v>
      </c>
      <c r="F51" s="246">
        <v>-1180.4030000000494</v>
      </c>
      <c r="G51" s="246">
        <v>49071.37449999979</v>
      </c>
      <c r="H51" s="246">
        <v>44020.394500000024</v>
      </c>
      <c r="I51" s="246">
        <v>16798.618218750107</v>
      </c>
      <c r="J51" s="128">
        <v>275057.8045</v>
      </c>
    </row>
    <row r="52">
      <c r="A52" s="245">
        <v>43570.975653437505</v>
      </c>
      <c r="B52" s="28">
        <v>0.1293063297631293</v>
      </c>
      <c r="C52" s="28">
        <v>0.04696806041363409</v>
      </c>
      <c r="D52" s="28">
        <v>0.15554435725293683</v>
      </c>
      <c r="E52" s="28">
        <v>4.000646562529695E-4</v>
      </c>
      <c r="F52" s="246">
        <v>299.5089999999618</v>
      </c>
      <c r="G52" s="246">
        <v>50251.77749999984</v>
      </c>
      <c r="H52" s="246">
        <v>45200.79750000003</v>
      </c>
      <c r="I52" s="246">
        <v>16416.009255859488</v>
      </c>
      <c r="J52" s="128">
        <v>276238.2075000001</v>
      </c>
    </row>
    <row r="53">
      <c r="A53" s="245">
        <v>43567.97559715278</v>
      </c>
      <c r="B53" s="28">
        <v>0.12868371611609508</v>
      </c>
      <c r="C53" s="28">
        <v>0.04707944711817236</v>
      </c>
      <c r="D53" s="28">
        <v>0.15498396817702467</v>
      </c>
      <c r="E53" s="28">
        <v>-0.002544752018595485</v>
      </c>
      <c r="F53" s="246">
        <v>-1907.474500000244</v>
      </c>
      <c r="G53" s="246">
        <v>49952.268499999875</v>
      </c>
      <c r="H53" s="246">
        <v>44901.2885</v>
      </c>
      <c r="I53" s="246">
        <v>16013.887562500044</v>
      </c>
      <c r="J53" s="128">
        <v>275938.6985000001</v>
      </c>
    </row>
    <row r="54">
      <c r="A54" s="245">
        <v>43566.97564020833</v>
      </c>
      <c r="B54" s="28">
        <v>0.13773007595840908</v>
      </c>
      <c r="C54" s="28">
        <v>0.044095031582766966</v>
      </c>
      <c r="D54" s="28">
        <v>0.16102947324733735</v>
      </c>
      <c r="E54" s="28">
        <v>-0.0015316373595653226</v>
      </c>
      <c r="F54" s="246">
        <v>-693.9020000000601</v>
      </c>
      <c r="G54" s="246">
        <v>51859.74300000012</v>
      </c>
      <c r="H54" s="246">
        <v>47781.89299999999</v>
      </c>
      <c r="I54" s="246">
        <v>10035.30572656252</v>
      </c>
      <c r="J54" s="128">
        <v>278819.30300000025</v>
      </c>
    </row>
    <row r="55">
      <c r="A55" s="245">
        <v>43565.97559818287</v>
      </c>
      <c r="B55" s="28">
        <v>0.13999546409041944</v>
      </c>
      <c r="C55" s="28">
        <v>0.044129944513553</v>
      </c>
      <c r="D55" s="28">
        <v>0.16331330904149255</v>
      </c>
      <c r="E55" s="28">
        <v>0.002726040433064516</v>
      </c>
      <c r="F55" s="246">
        <v>1236.9130000000005</v>
      </c>
      <c r="G55" s="246">
        <v>52553.64500000018</v>
      </c>
      <c r="H55" s="246">
        <v>48475.79500000002</v>
      </c>
      <c r="I55" s="246">
        <v>9832.96853515627</v>
      </c>
      <c r="J55" s="128">
        <v>279638.28500000027</v>
      </c>
    </row>
    <row r="56">
      <c r="A56" s="245">
        <v>43564.97563767361</v>
      </c>
      <c r="B56" s="28">
        <v>0.136259575344721</v>
      </c>
      <c r="C56" s="28">
        <v>0.04416491277386485</v>
      </c>
      <c r="D56" s="28">
        <v>0.15959589719353667</v>
      </c>
      <c r="E56" s="28">
        <v>-0.0017553192457968596</v>
      </c>
      <c r="F56" s="246">
        <v>-794.286999999953</v>
      </c>
      <c r="G56" s="246">
        <v>51316.73200000018</v>
      </c>
      <c r="H56" s="246">
        <v>47238.88200000001</v>
      </c>
      <c r="I56" s="246">
        <v>9621.817519531263</v>
      </c>
      <c r="J56" s="128">
        <v>277285.2220000003</v>
      </c>
    </row>
    <row r="57">
      <c r="A57" s="245">
        <v>43563.97568585648</v>
      </c>
      <c r="B57" s="28">
        <v>0.13883983695500174</v>
      </c>
      <c r="C57" s="28">
        <v>0.044199936495335004</v>
      </c>
      <c r="D57" s="28">
        <v>0.16219466500671098</v>
      </c>
      <c r="E57" s="28">
        <v>-0.002640356278959247</v>
      </c>
      <c r="F57" s="246">
        <v>-1196.8660000000382</v>
      </c>
      <c r="G57" s="246">
        <v>52111.01900000013</v>
      </c>
      <c r="H57" s="246">
        <v>48033.16900000001</v>
      </c>
      <c r="I57" s="246">
        <v>9417.492847656278</v>
      </c>
      <c r="J57" s="128">
        <v>278079.50900000025</v>
      </c>
    </row>
    <row r="58">
      <c r="A58" s="245">
        <v>43560.97554396991</v>
      </c>
      <c r="B58" s="28">
        <v>0.14290504240639454</v>
      </c>
      <c r="C58" s="28">
        <v>0.04430534174929844</v>
      </c>
      <c r="D58" s="28">
        <v>0.1663155655965419</v>
      </c>
      <c r="E58" s="28">
        <v>0.0038188070789270732</v>
      </c>
      <c r="F58" s="246">
        <v>1735.6250000000582</v>
      </c>
      <c r="G58" s="246">
        <v>53307.88500000017</v>
      </c>
      <c r="H58" s="246">
        <v>49230.034999999945</v>
      </c>
      <c r="I58" s="246">
        <v>9203.699394531292</v>
      </c>
      <c r="J58" s="128">
        <v>279276.3750000003</v>
      </c>
    </row>
    <row r="59">
      <c r="A59" s="245">
        <v>43559.97564106481</v>
      </c>
      <c r="B59" s="28">
        <v>0.13759943587788667</v>
      </c>
      <c r="C59" s="28">
        <v>0.04434058864010934</v>
      </c>
      <c r="D59" s="28">
        <v>0.16102858319149477</v>
      </c>
      <c r="E59" s="28">
        <v>-3.6903723773483904E-4</v>
      </c>
      <c r="F59" s="246">
        <v>-168.04999999998836</v>
      </c>
      <c r="G59" s="246">
        <v>51572.26000000011</v>
      </c>
      <c r="H59" s="246">
        <v>47494.410000000025</v>
      </c>
      <c r="I59" s="246">
        <v>8876.414636718808</v>
      </c>
      <c r="J59" s="128">
        <v>277540.75000000023</v>
      </c>
    </row>
    <row r="60">
      <c r="A60" s="245">
        <v>43558.97564258102</v>
      </c>
      <c r="B60" s="28">
        <v>0.13823412456723724</v>
      </c>
      <c r="C60" s="28">
        <v>0.04437589165654254</v>
      </c>
      <c r="D60" s="28">
        <v>0.1616819256605536</v>
      </c>
      <c r="E60" s="28">
        <v>-9.532158549980531E-4</v>
      </c>
      <c r="F60" s="246">
        <v>-434.22999999990134</v>
      </c>
      <c r="G60" s="246">
        <v>51740.3100000001</v>
      </c>
      <c r="H60" s="246">
        <v>47662.459999999985</v>
      </c>
      <c r="I60" s="246">
        <v>8679.92717187506</v>
      </c>
      <c r="J60" s="128">
        <v>277708.8000000002</v>
      </c>
    </row>
    <row r="61">
      <c r="A61" s="245">
        <v>43526.0</v>
      </c>
      <c r="B61" s="28">
        <v>0.1397</v>
      </c>
      <c r="C61" s="28">
        <v>0.0444</v>
      </c>
      <c r="D61" s="28">
        <v>0.1632</v>
      </c>
      <c r="E61" s="28">
        <v>0.0034</v>
      </c>
      <c r="F61" s="246">
        <v>1542.98</v>
      </c>
      <c r="G61" s="246">
        <v>52174.54</v>
      </c>
      <c r="H61" s="246">
        <v>48096.69</v>
      </c>
      <c r="I61" s="246">
        <v>8554.45</v>
      </c>
      <c r="J61" s="128">
        <v>285745.176</v>
      </c>
    </row>
    <row r="62">
      <c r="A62" s="245">
        <v>43556.9756159838</v>
      </c>
      <c r="B62" s="28">
        <v>0.13493363868649866</v>
      </c>
      <c r="C62" s="28">
        <v>0.044446666603363195</v>
      </c>
      <c r="D62" s="28">
        <v>0.1584695767964733</v>
      </c>
      <c r="E62" s="28">
        <v>0.0038411764472997927</v>
      </c>
      <c r="F62" s="246">
        <v>1761.6066666667175</v>
      </c>
      <c r="G62" s="246">
        <v>50631.56466666686</v>
      </c>
      <c r="H62" s="246">
        <v>46810.313000000024</v>
      </c>
      <c r="I62" s="246">
        <v>8595.72267315179</v>
      </c>
      <c r="J62" s="128">
        <v>276583.8430000003</v>
      </c>
    </row>
    <row r="63">
      <c r="A63" s="245">
        <v>43553.97584701389</v>
      </c>
      <c r="B63" s="28">
        <v>0.13425271373643816</v>
      </c>
      <c r="C63" s="28">
        <v>0.046788315682355995</v>
      </c>
      <c r="D63" s="28">
        <v>0.16101440492248253</v>
      </c>
      <c r="E63" s="28">
        <v>0.0043553499686326625</v>
      </c>
      <c r="F63" s="247">
        <v>1987.115000000049</v>
      </c>
      <c r="G63" s="246">
        <v>48869.958000000144</v>
      </c>
      <c r="H63" s="246">
        <v>44445.99799999998</v>
      </c>
      <c r="I63" s="246">
        <v>8487.823707031295</v>
      </c>
      <c r="J63" s="128">
        <v>275338.44800000027</v>
      </c>
    </row>
    <row r="64">
      <c r="A64" s="245">
        <v>43552.97569547454</v>
      </c>
      <c r="B64" s="28">
        <v>0.12780782661450554</v>
      </c>
      <c r="C64" s="28">
        <v>0.04682574633490188</v>
      </c>
      <c r="D64" s="28">
        <v>0.15459092715349879</v>
      </c>
      <c r="E64" s="28">
        <v>-0.001074647144158848</v>
      </c>
      <c r="F64" s="247">
        <v>-488.1690000001108</v>
      </c>
      <c r="G64" s="246">
        <v>46882.843000000095</v>
      </c>
      <c r="H64" s="246">
        <v>42458.88300000001</v>
      </c>
      <c r="I64" s="246">
        <v>8389.82951372554</v>
      </c>
      <c r="J64" s="128">
        <v>273351.3330000003</v>
      </c>
    </row>
    <row r="65">
      <c r="A65" s="245">
        <v>43551.975784270835</v>
      </c>
      <c r="B65" s="28">
        <v>0.1295211261517298</v>
      </c>
      <c r="C65" s="28">
        <v>0.046863236924441436</v>
      </c>
      <c r="D65" s="28">
        <v>0.1563256703260625</v>
      </c>
      <c r="E65" s="28">
        <v>2.709192950547475E-6</v>
      </c>
      <c r="F65" s="247">
        <v>1.2320000000181608</v>
      </c>
      <c r="G65" s="246">
        <v>47371.012000000206</v>
      </c>
      <c r="H65" s="246">
        <v>42947.052000000025</v>
      </c>
      <c r="I65" s="246">
        <v>8195.742713725567</v>
      </c>
      <c r="J65" s="128">
        <v>273839.5020000003</v>
      </c>
    </row>
    <row r="66">
      <c r="A66" s="245">
        <v>43550.97580263889</v>
      </c>
      <c r="B66" s="28">
        <v>0.12962084021304812</v>
      </c>
      <c r="C66" s="28">
        <v>0.04690078759505397</v>
      </c>
      <c r="D66" s="28">
        <v>0.15644686238752048</v>
      </c>
      <c r="E66" s="28">
        <v>0.004457025904133115</v>
      </c>
      <c r="F66" s="247">
        <v>2026.8180000000866</v>
      </c>
      <c r="G66" s="246">
        <v>47369.78000000019</v>
      </c>
      <c r="H66" s="246">
        <v>42945.81999999999</v>
      </c>
      <c r="I66" s="246">
        <v>7984.434419607879</v>
      </c>
      <c r="J66" s="128">
        <v>273838.2700000003</v>
      </c>
    </row>
    <row r="67">
      <c r="A67" s="245">
        <v>43549.9760040625</v>
      </c>
      <c r="B67" s="28">
        <v>0.12302550258347839</v>
      </c>
      <c r="C67" s="28">
        <v>0.04693839849128095</v>
      </c>
      <c r="D67" s="28">
        <v>0.1498730372055646</v>
      </c>
      <c r="E67" s="28">
        <v>-0.008768818705788606</v>
      </c>
      <c r="F67" s="247">
        <v>-3969.818920516758</v>
      </c>
      <c r="G67" s="246">
        <v>45342.9620000001</v>
      </c>
      <c r="H67" s="246">
        <v>40919.002000000015</v>
      </c>
      <c r="I67" s="246">
        <v>7775.553521568667</v>
      </c>
      <c r="J67" s="128">
        <v>271811.4520000003</v>
      </c>
    </row>
    <row r="68">
      <c r="A68" s="245">
        <v>43546.97561252315</v>
      </c>
      <c r="B68" s="28">
        <v>0.13647535663410504</v>
      </c>
      <c r="C68" s="28">
        <v>0.04705159398603485</v>
      </c>
      <c r="D68" s="28">
        <v>0.16338763611460466</v>
      </c>
      <c r="E68" s="28">
        <v>0.008916471722208642</v>
      </c>
      <c r="F68" s="247">
        <v>6755.775326436502</v>
      </c>
      <c r="G68" s="246">
        <v>49312.78092051686</v>
      </c>
      <c r="H68" s="246">
        <v>44824.480920516886</v>
      </c>
      <c r="I68" s="246">
        <v>11710.44986120375</v>
      </c>
      <c r="J68" s="128">
        <v>275746.44499999995</v>
      </c>
    </row>
    <row r="69">
      <c r="A69" s="245">
        <v>43545.975588726855</v>
      </c>
      <c r="B69" s="28">
        <v>0.11418328837829529</v>
      </c>
      <c r="C69" s="28">
        <v>0.04708944723944276</v>
      </c>
      <c r="D69" s="28">
        <v>0.14111721892836893</v>
      </c>
      <c r="E69" s="28">
        <v>0.006984233166929524</v>
      </c>
      <c r="F69" s="247">
        <v>5244.585252995108</v>
      </c>
      <c r="G69" s="246">
        <v>42557.00559408036</v>
      </c>
      <c r="H69" s="246">
        <v>38068.705594080355</v>
      </c>
      <c r="I69" s="246">
        <v>11435.229071214679</v>
      </c>
      <c r="J69" s="128">
        <v>269315.495</v>
      </c>
    </row>
    <row r="70">
      <c r="A70" s="245">
        <v>43544.975511666664</v>
      </c>
      <c r="B70" s="28">
        <v>0.09687039968075103</v>
      </c>
      <c r="C70" s="28">
        <v>0.04712736144817017</v>
      </c>
      <c r="D70" s="28">
        <v>0.12382601616524501</v>
      </c>
      <c r="E70" s="28">
        <v>-0.0021566447874893408</v>
      </c>
      <c r="F70" s="247">
        <v>-1608.1523285183357</v>
      </c>
      <c r="G70" s="246">
        <v>37312.42034108525</v>
      </c>
      <c r="H70" s="246">
        <v>32824.12034108528</v>
      </c>
      <c r="I70" s="246">
        <v>11202.40130813446</v>
      </c>
      <c r="J70" s="128">
        <v>263688.231</v>
      </c>
    </row>
    <row r="71">
      <c r="A71" s="245">
        <v>43543.97553142361</v>
      </c>
      <c r="B71" s="28">
        <v>0.10228961666412115</v>
      </c>
      <c r="C71" s="28">
        <v>0.04716533675957079</v>
      </c>
      <c r="D71" s="28">
        <v>0.12926695403216426</v>
      </c>
      <c r="E71" s="28">
        <v>-9.732146365752263E-5</v>
      </c>
      <c r="F71" s="247">
        <v>-72.72651987185236</v>
      </c>
      <c r="G71" s="246">
        <v>38920.572669603585</v>
      </c>
      <c r="H71" s="246">
        <v>34432.27266960355</v>
      </c>
      <c r="I71" s="246">
        <v>11022.979391725079</v>
      </c>
      <c r="J71" s="128">
        <v>265120.106</v>
      </c>
    </row>
    <row r="72">
      <c r="A72" s="245">
        <v>43542.97552386574</v>
      </c>
      <c r="B72" s="28">
        <v>0.10261384978132237</v>
      </c>
      <c r="C72" s="28">
        <v>0.047203373321473674</v>
      </c>
      <c r="D72" s="28">
        <v>0.1296129430665978</v>
      </c>
      <c r="E72" s="28">
        <v>0.001245582529485045</v>
      </c>
      <c r="F72" s="247">
        <v>932.1978129070485</v>
      </c>
      <c r="G72" s="246">
        <v>38993.29918947544</v>
      </c>
      <c r="H72" s="246">
        <v>34504.999189475515</v>
      </c>
      <c r="I72" s="246">
        <v>10763.32817663526</v>
      </c>
      <c r="J72" s="128">
        <v>265076.68500000006</v>
      </c>
    </row>
    <row r="73">
      <c r="A73" s="245">
        <v>43539.97556614583</v>
      </c>
      <c r="B73" s="28">
        <v>0.09975658956826469</v>
      </c>
      <c r="C73" s="28">
        <v>0.04731785199565671</v>
      </c>
      <c r="D73" s="28">
        <v>0.12682116165698057</v>
      </c>
      <c r="E73" s="28">
        <v>0.0024095982170836117</v>
      </c>
      <c r="F73" s="247">
        <v>1801.104527182877</v>
      </c>
      <c r="G73" s="246">
        <v>38061.10137656839</v>
      </c>
      <c r="H73" s="246">
        <v>33572.80137656835</v>
      </c>
      <c r="I73" s="246">
        <v>10485.733440479442</v>
      </c>
      <c r="J73" s="128">
        <v>264772.66500000015</v>
      </c>
    </row>
    <row r="74">
      <c r="A74" s="245">
        <v>43538.96140621528</v>
      </c>
      <c r="B74" s="28">
        <v>0.09383108865051297</v>
      </c>
      <c r="C74" s="28">
        <v>0.047356135047433134</v>
      </c>
      <c r="D74" s="28">
        <v>0.12091755764221324</v>
      </c>
      <c r="E74" s="28">
        <v>-0.0032143418306662765</v>
      </c>
      <c r="F74" s="247">
        <v>-2396.837587733986</v>
      </c>
      <c r="G74" s="246">
        <v>36259.99684938551</v>
      </c>
      <c r="H74" s="246">
        <v>31771.696849385342</v>
      </c>
      <c r="I74" s="246">
        <v>10303.631227060008</v>
      </c>
      <c r="J74" s="128">
        <v>262743.248</v>
      </c>
    </row>
    <row r="75">
      <c r="A75" s="245">
        <v>43537.97555106481</v>
      </c>
      <c r="B75" s="28">
        <v>0.10190636044836232</v>
      </c>
      <c r="C75" s="28">
        <v>0.047394480096054535</v>
      </c>
      <c r="D75" s="28">
        <v>0.12901476180361862</v>
      </c>
      <c r="E75" s="28">
        <v>0.002107064559807443</v>
      </c>
      <c r="F75" s="247">
        <v>1576.224672726239</v>
      </c>
      <c r="G75" s="246">
        <v>38656.8344371195</v>
      </c>
      <c r="H75" s="246">
        <v>34168.53443711946</v>
      </c>
      <c r="I75" s="246">
        <v>10145.656244227961</v>
      </c>
      <c r="J75" s="128">
        <v>265576.895</v>
      </c>
    </row>
    <row r="76">
      <c r="A76" s="245">
        <v>43536.97556723379</v>
      </c>
      <c r="B76" s="28">
        <v>0.09672412853820889</v>
      </c>
      <c r="C76" s="28">
        <v>0.047432887292242584</v>
      </c>
      <c r="D76" s="28">
        <v>0.12385449780380169</v>
      </c>
      <c r="E76" s="28">
        <v>9.614280753435705E-4</v>
      </c>
      <c r="F76" s="247">
        <v>717.6968283079332</v>
      </c>
      <c r="G76" s="246">
        <v>37080.60976439326</v>
      </c>
      <c r="H76" s="246">
        <v>32592.309764393336</v>
      </c>
      <c r="I76" s="246">
        <v>9957.664729337188</v>
      </c>
      <c r="J76" s="128">
        <v>263209.779</v>
      </c>
    </row>
    <row r="77">
      <c r="A77" s="245">
        <v>43535.97564613426</v>
      </c>
      <c r="B77" s="28">
        <v>0.09440342126320887</v>
      </c>
      <c r="C77" s="28">
        <v>0.04747135678720791</v>
      </c>
      <c r="D77" s="28">
        <v>0.12155579407240719</v>
      </c>
      <c r="E77" s="28">
        <v>0.0034277620608176946</v>
      </c>
      <c r="F77" s="247">
        <v>2556.331377117778</v>
      </c>
      <c r="G77" s="246">
        <v>36362.912936085326</v>
      </c>
      <c r="H77" s="246">
        <v>31874.61293608523</v>
      </c>
      <c r="I77" s="246">
        <v>9770.467810522941</v>
      </c>
      <c r="J77" s="128">
        <v>263776.37100000004</v>
      </c>
    </row>
    <row r="78">
      <c r="A78" s="245">
        <v>43532.998715277776</v>
      </c>
      <c r="B78" s="28">
        <v>0.08606739649437546</v>
      </c>
      <c r="C78" s="28">
        <v>0.04758714058424988</v>
      </c>
      <c r="D78" s="28">
        <v>0.1132859946031084</v>
      </c>
      <c r="E78" s="28">
        <v>-0.00185014359240408</v>
      </c>
      <c r="F78" s="247">
        <v>-1375.0570076096337</v>
      </c>
      <c r="G78" s="246">
        <v>33806.58155896755</v>
      </c>
      <c r="H78" s="247">
        <v>29318.281558967552</v>
      </c>
      <c r="I78" s="247">
        <v>9454.0843107595</v>
      </c>
      <c r="J78" s="128">
        <v>260248.86600000015</v>
      </c>
    </row>
    <row r="79">
      <c r="A79" s="245">
        <v>43531.97566297454</v>
      </c>
      <c r="B79" s="28">
        <v>0.09074899788617193</v>
      </c>
      <c r="C79" s="28">
        <v>0.047625860796279375</v>
      </c>
      <c r="D79" s="28">
        <v>0.1179897429421048</v>
      </c>
      <c r="E79" s="28">
        <v>0.007587753389326673</v>
      </c>
      <c r="F79" s="247">
        <v>5677.675925594522</v>
      </c>
      <c r="G79" s="246">
        <v>35181.63856657718</v>
      </c>
      <c r="H79" s="246">
        <v>30690.60856657731</v>
      </c>
      <c r="I79" s="246">
        <v>9023.939419642504</v>
      </c>
      <c r="J79" s="128">
        <v>262235.6860000001</v>
      </c>
    </row>
    <row r="80">
      <c r="A80" s="245">
        <v>43530.97587299769</v>
      </c>
      <c r="B80" s="28">
        <v>0.07176599538317954</v>
      </c>
      <c r="C80" s="28">
        <v>0.04766464407054345</v>
      </c>
      <c r="D80" s="28">
        <v>0.09902892345625895</v>
      </c>
      <c r="E80" s="28">
        <v>3.516897083498693E-4</v>
      </c>
      <c r="F80" s="247">
        <v>261.17501251993235</v>
      </c>
      <c r="G80" s="246">
        <v>29503.96264098266</v>
      </c>
      <c r="H80" s="246">
        <v>25010.922640982604</v>
      </c>
      <c r="I80" s="246">
        <v>8816.608472731976</v>
      </c>
      <c r="J80" s="128">
        <v>256184.36200000008</v>
      </c>
    </row>
    <row r="81">
      <c r="A81" s="245">
        <v>43529.97564774306</v>
      </c>
      <c r="B81" s="28">
        <v>0.07094714598024283</v>
      </c>
      <c r="C81" s="28">
        <v>0.04770349056122849</v>
      </c>
      <c r="D81" s="28">
        <v>0.09823229322860594</v>
      </c>
      <c r="E81" s="28">
        <v>-3.415681072667478E-5</v>
      </c>
      <c r="F81" s="247">
        <v>-25.391740246413974</v>
      </c>
      <c r="G81" s="246">
        <v>29242.787628462727</v>
      </c>
      <c r="H81" s="246">
        <v>24749.747628462737</v>
      </c>
      <c r="I81" s="246">
        <v>8588.37358548915</v>
      </c>
      <c r="J81" s="128">
        <v>255967.17900000012</v>
      </c>
    </row>
    <row r="82">
      <c r="A82" s="245">
        <v>43528.975770000005</v>
      </c>
      <c r="B82" s="28">
        <v>0.06929268512157574</v>
      </c>
      <c r="C82" s="28">
        <v>0.04774240042302394</v>
      </c>
      <c r="D82" s="28">
        <v>0.09839778288595197</v>
      </c>
      <c r="E82" s="28">
        <v>0.005666590644676771</v>
      </c>
      <c r="F82" s="247">
        <v>4209.585521358924</v>
      </c>
      <c r="G82" s="246">
        <v>29268.17936870914</v>
      </c>
      <c r="H82" s="246">
        <v>24240.419368709143</v>
      </c>
      <c r="I82" s="246">
        <v>8412.11854632293</v>
      </c>
      <c r="J82" s="128">
        <v>255781.9650000002</v>
      </c>
    </row>
    <row r="83">
      <c r="A83" s="245">
        <v>43525.97552253472</v>
      </c>
      <c r="B83" s="28">
        <v>0.055302711025378</v>
      </c>
      <c r="C83" s="28">
        <v>0.047859511789556296</v>
      </c>
      <c r="D83" s="28">
        <v>0.08445207316084805</v>
      </c>
      <c r="E83" s="28">
        <v>-0.0019230770113606733</v>
      </c>
      <c r="F83" s="247">
        <v>-1437.134361835604</v>
      </c>
      <c r="G83" s="246">
        <v>25058.593847350217</v>
      </c>
      <c r="H83" s="247">
        <v>20367.152000000024</v>
      </c>
      <c r="I83" s="247">
        <v>7951.360584732486</v>
      </c>
      <c r="J83" s="128">
        <v>251866.887</v>
      </c>
    </row>
    <row r="84">
      <c r="A84" s="245">
        <v>43524.97552314815</v>
      </c>
      <c r="B84" s="28">
        <v>0.06313500837777523</v>
      </c>
      <c r="C84" s="28">
        <v>0.05023783349815911</v>
      </c>
      <c r="D84" s="28">
        <v>0.09373291351267139</v>
      </c>
      <c r="E84" s="28">
        <v>-0.0043114694972915465</v>
      </c>
      <c r="F84" s="247">
        <v>-3206.2283798358403</v>
      </c>
      <c r="G84" s="246">
        <v>26495.72820918582</v>
      </c>
      <c r="H84" s="247">
        <v>20367.152000000024</v>
      </c>
      <c r="I84" s="247">
        <v>7951.360584732486</v>
      </c>
      <c r="J84" s="128">
        <v>253515.9530000001</v>
      </c>
    </row>
    <row r="85">
      <c r="A85" s="245">
        <v>43523.975563217595</v>
      </c>
      <c r="B85" s="28">
        <v>0.07453855576418751</v>
      </c>
      <c r="C85" s="28">
        <v>0.050278978324938925</v>
      </c>
      <c r="D85" s="28">
        <v>0.10516152060844884</v>
      </c>
      <c r="E85" s="28">
        <v>-0.005181680058462376</v>
      </c>
      <c r="F85" s="247">
        <v>-3869.974938450847</v>
      </c>
      <c r="G85" s="246">
        <v>29701.95658902166</v>
      </c>
      <c r="H85" s="247">
        <v>20367.152000000024</v>
      </c>
      <c r="I85" s="247">
        <v>7951.360584732486</v>
      </c>
      <c r="J85" s="128">
        <v>256839.8230000001</v>
      </c>
    </row>
    <row r="86">
      <c r="A86" s="245">
        <v>43522.975535011574</v>
      </c>
      <c r="B86" s="28">
        <v>0.08831275739589997</v>
      </c>
      <c r="C86" s="28">
        <v>0.05032019060225445</v>
      </c>
      <c r="D86" s="28">
        <v>0.11896082303101728</v>
      </c>
      <c r="E86" s="28">
        <v>-1.7701106037608199E-4</v>
      </c>
      <c r="F86" s="247">
        <v>-132.8870091449935</v>
      </c>
      <c r="G86" s="246">
        <v>33571.93152747251</v>
      </c>
      <c r="H86" s="247">
        <v>20367.152000000024</v>
      </c>
      <c r="I86" s="247">
        <v>7951.360584732486</v>
      </c>
      <c r="J86" s="128">
        <v>260441.17099999997</v>
      </c>
    </row>
    <row r="87">
      <c r="A87" s="245">
        <v>43521.9755272801</v>
      </c>
      <c r="B87" s="28">
        <v>0.08885647047490067</v>
      </c>
      <c r="C87" s="28">
        <v>0.05036147049610371</v>
      </c>
      <c r="D87" s="28">
        <v>0.1195296780834676</v>
      </c>
      <c r="E87" s="28">
        <v>-0.002403027341277255</v>
      </c>
      <c r="F87" s="247">
        <v>-1804.3372020759853</v>
      </c>
      <c r="G87" s="246">
        <v>33704.8185366175</v>
      </c>
      <c r="H87" s="247">
        <v>20367.152000000024</v>
      </c>
      <c r="I87" s="247">
        <v>7951.360584732486</v>
      </c>
      <c r="J87" s="128">
        <v>260765.4630000001</v>
      </c>
    </row>
    <row r="88">
      <c r="A88" s="245">
        <v>43518.97556290509</v>
      </c>
      <c r="B88" s="28">
        <v>0.09549031844217393</v>
      </c>
      <c r="C88" s="28">
        <v>0.050485717545025025</v>
      </c>
      <c r="D88" s="28">
        <v>0.1262392000826699</v>
      </c>
      <c r="E88" s="28">
        <v>0.005253444673220378</v>
      </c>
      <c r="F88" s="247">
        <v>3961.4920050543733</v>
      </c>
      <c r="G88" s="246">
        <v>35509.15573869349</v>
      </c>
      <c r="H88" s="247">
        <v>20356.70200000002</v>
      </c>
      <c r="I88" s="247">
        <v>7876.329724517432</v>
      </c>
      <c r="J88" s="128">
        <v>262439.99600000004</v>
      </c>
    </row>
    <row r="89">
      <c r="A89" s="245">
        <v>43517.97554945602</v>
      </c>
      <c r="B89" s="28">
        <v>0.08147375266123685</v>
      </c>
      <c r="C89" s="28">
        <v>0.050527269575926285</v>
      </c>
      <c r="D89" s="28">
        <v>0.11224794202324764</v>
      </c>
      <c r="E89" s="28">
        <v>-0.0026483626341897537</v>
      </c>
      <c r="F89" s="247">
        <v>-1986.572945460095</v>
      </c>
      <c r="G89" s="246">
        <v>31547.663733639114</v>
      </c>
      <c r="H89" s="247">
        <v>20356.70200000002</v>
      </c>
      <c r="I89" s="247">
        <v>7876.329724517432</v>
      </c>
      <c r="J89" s="128">
        <v>259117.23900000006</v>
      </c>
    </row>
    <row r="90">
      <c r="A90" s="245">
        <v>43516.97557607639</v>
      </c>
      <c r="B90" s="28">
        <v>0.08861499864744093</v>
      </c>
      <c r="C90" s="28">
        <v>0.05056889006157367</v>
      </c>
      <c r="D90" s="28">
        <v>0.1194145374240827</v>
      </c>
      <c r="E90" s="28">
        <v>-0.003549256279824381</v>
      </c>
      <c r="F90" s="247">
        <v>-2669.3964171055704</v>
      </c>
      <c r="G90" s="246">
        <v>33534.23667909921</v>
      </c>
      <c r="H90" s="247">
        <v>20356.70200000002</v>
      </c>
      <c r="I90" s="247">
        <v>7876.329724517432</v>
      </c>
      <c r="J90" s="128">
        <v>260707.70199999993</v>
      </c>
    </row>
    <row r="91">
      <c r="A91" s="245">
        <v>43515.975523009256</v>
      </c>
      <c r="B91" s="28">
        <v>0.0982015401771953</v>
      </c>
      <c r="C91" s="28">
        <v>0.05061057917126994</v>
      </c>
      <c r="D91" s="28">
        <v>0.1290264701646999</v>
      </c>
      <c r="E91" s="28">
        <v>3.406110072223446E-4</v>
      </c>
      <c r="F91" s="247">
        <v>257.0828381375177</v>
      </c>
      <c r="G91" s="246">
        <v>36203.63309620478</v>
      </c>
      <c r="H91" s="247">
        <v>20356.70200000002</v>
      </c>
      <c r="I91" s="247">
        <v>7876.329724517432</v>
      </c>
      <c r="J91" s="128">
        <v>262795.39800000004</v>
      </c>
    </row>
    <row r="92">
      <c r="A92" s="245">
        <v>43514.975680069445</v>
      </c>
      <c r="B92" s="28">
        <v>0.0973655886366012</v>
      </c>
      <c r="C92" s="28">
        <v>0.0506523370748766</v>
      </c>
      <c r="D92" s="28">
        <v>0.12821595173465658</v>
      </c>
      <c r="E92" s="28">
        <v>-6.77047230788936E-4</v>
      </c>
      <c r="F92" s="247">
        <v>-510.8406192067778</v>
      </c>
      <c r="G92" s="246">
        <v>35946.55025806726</v>
      </c>
      <c r="H92" s="247">
        <v>20356.70200000002</v>
      </c>
      <c r="I92" s="247">
        <v>7876.329724517432</v>
      </c>
      <c r="J92" s="128">
        <v>262927.272</v>
      </c>
    </row>
    <row r="93">
      <c r="A93" s="245">
        <v>43511.97552689815</v>
      </c>
      <c r="B93" s="28">
        <v>0.09943380376088574</v>
      </c>
      <c r="C93" s="28">
        <v>0.050778025256203826</v>
      </c>
      <c r="D93" s="28">
        <v>0.1303607186284152</v>
      </c>
      <c r="E93" s="28">
        <v>0.004818474310987187</v>
      </c>
      <c r="F93" s="247">
        <v>3638.060716767097</v>
      </c>
      <c r="G93" s="246">
        <v>36457.39087727404</v>
      </c>
      <c r="H93" s="247">
        <v>20356.70200000002</v>
      </c>
      <c r="I93" s="247">
        <v>7876.329724517432</v>
      </c>
      <c r="J93" s="128">
        <v>264026.4120000001</v>
      </c>
    </row>
    <row r="94">
      <c r="A94" s="245">
        <v>43510.97556413195</v>
      </c>
      <c r="B94" s="28">
        <v>0.08649673148392717</v>
      </c>
      <c r="C94" s="28">
        <v>0.050820060045323204</v>
      </c>
      <c r="D94" s="28">
        <v>0.11744924810217477</v>
      </c>
      <c r="E94" s="28">
        <v>0.0010829873276460987</v>
      </c>
      <c r="F94" s="247">
        <v>813.7407690832624</v>
      </c>
      <c r="G94" s="246">
        <v>32819.33016050694</v>
      </c>
      <c r="H94" s="247">
        <v>20356.70200000002</v>
      </c>
      <c r="I94" s="247">
        <v>7876.329724517432</v>
      </c>
      <c r="J94" s="128">
        <v>259771.28200000012</v>
      </c>
    </row>
    <row r="95">
      <c r="A95" s="245">
        <v>43509.97554712963</v>
      </c>
      <c r="B95" s="28">
        <v>0.08365387924746635</v>
      </c>
      <c r="C95" s="28">
        <v>0.05086216448612297</v>
      </c>
      <c r="D95" s="28">
        <v>0.11463204003855426</v>
      </c>
      <c r="E95" s="28">
        <v>0.0037918897059564366</v>
      </c>
      <c r="F95" s="247">
        <v>2846.084607558907</v>
      </c>
      <c r="G95" s="246">
        <v>32005.58939142368</v>
      </c>
      <c r="H95" s="247">
        <v>20356.70200000002</v>
      </c>
      <c r="I95" s="247">
        <v>7876.329724517432</v>
      </c>
      <c r="J95" s="128">
        <v>258954.77500000002</v>
      </c>
    </row>
    <row r="96">
      <c r="A96" s="245">
        <v>43508.97556262731</v>
      </c>
      <c r="B96" s="28">
        <v>0.07352118193301388</v>
      </c>
      <c r="C96" s="28">
        <v>0.05090433875186603</v>
      </c>
      <c r="D96" s="28">
        <v>0.10452502942459191</v>
      </c>
      <c r="E96" s="28">
        <v>-0.0014328513536843092</v>
      </c>
      <c r="F96" s="247">
        <v>-1076.8864652925404</v>
      </c>
      <c r="G96" s="246">
        <v>29159.504783864773</v>
      </c>
      <c r="H96" s="247">
        <v>20387.51300000002</v>
      </c>
      <c r="I96" s="247">
        <v>7728.467011255781</v>
      </c>
      <c r="J96" s="128">
        <v>256453.5519999998</v>
      </c>
    </row>
    <row r="97">
      <c r="A97" s="245">
        <v>43507.975571319446</v>
      </c>
      <c r="B97" s="28">
        <v>0.07744560121934312</v>
      </c>
      <c r="C97" s="28">
        <v>0.05094658301639039</v>
      </c>
      <c r="D97" s="28">
        <v>0.10847517804493904</v>
      </c>
      <c r="E97" s="28">
        <v>0.005368488386894975</v>
      </c>
      <c r="F97" s="247">
        <v>4049.5872102308786</v>
      </c>
      <c r="G97" s="246">
        <v>30236.391249157314</v>
      </c>
      <c r="H97" s="247">
        <v>20433.889000000025</v>
      </c>
      <c r="I97" s="247">
        <v>7595.790910897357</v>
      </c>
      <c r="J97" s="128">
        <v>257533.44400000002</v>
      </c>
    </row>
    <row r="98">
      <c r="A98" s="245">
        <v>43504.97553083333</v>
      </c>
      <c r="B98" s="28">
        <v>0.06307445441136841</v>
      </c>
      <c r="C98" s="28">
        <v>0.05107373754970918</v>
      </c>
      <c r="D98" s="28">
        <v>0.09418147610424953</v>
      </c>
      <c r="E98" s="28">
        <v>0.004743285552836375</v>
      </c>
      <c r="F98" s="247">
        <v>3558.772476806247</v>
      </c>
      <c r="G98" s="246">
        <v>26186.804038926435</v>
      </c>
      <c r="H98" s="247">
        <v>20433.889000000025</v>
      </c>
      <c r="I98" s="247">
        <v>7595.790910897357</v>
      </c>
      <c r="J98" s="128">
        <v>253701.637</v>
      </c>
    </row>
    <row r="99">
      <c r="A99" s="245">
        <v>43503.97551042824</v>
      </c>
      <c r="B99" s="28">
        <v>0.05031710400239113</v>
      </c>
      <c r="C99" s="28">
        <v>0.05111626355932592</v>
      </c>
      <c r="D99" s="28">
        <v>0.081450026629238</v>
      </c>
      <c r="E99" s="28">
        <v>-0.0021080038678826934</v>
      </c>
      <c r="F99" s="247">
        <v>-1585.460573504155</v>
      </c>
      <c r="G99" s="246">
        <v>22628.031562120188</v>
      </c>
      <c r="H99" s="247">
        <v>20322.35234484855</v>
      </c>
      <c r="I99" s="247">
        <v>7377.423453212544</v>
      </c>
      <c r="J99" s="128">
        <v>249952.864</v>
      </c>
    </row>
    <row r="100">
      <c r="A100" s="245">
        <v>43502.97551524306</v>
      </c>
      <c r="B100" s="28">
        <v>0.05607068592253961</v>
      </c>
      <c r="C100" s="28">
        <v>0.05115886044562536</v>
      </c>
      <c r="D100" s="28">
        <v>0.08722955265157553</v>
      </c>
      <c r="E100" s="28">
        <v>0.0021171471318677353</v>
      </c>
      <c r="F100" s="247">
        <v>1604.5989420762053</v>
      </c>
      <c r="G100" s="246">
        <v>24213.492135624343</v>
      </c>
      <c r="H100" s="247">
        <v>20266.923611294806</v>
      </c>
      <c r="I100" s="247">
        <v>7227.885561062805</v>
      </c>
      <c r="J100" s="128">
        <v>251414.14599999995</v>
      </c>
    </row>
    <row r="101">
      <c r="A101" s="245">
        <v>43501.97556668981</v>
      </c>
      <c r="B101" s="28">
        <v>0.05033203195608231</v>
      </c>
      <c r="C101" s="28">
        <v>0.05120152838594698</v>
      </c>
      <c r="D101" s="28">
        <v>0.08151688606354111</v>
      </c>
      <c r="E101" s="28">
        <v>0.0069107950821689235</v>
      </c>
      <c r="F101" s="247">
        <v>5226.645399986446</v>
      </c>
      <c r="G101" s="246">
        <v>22608.893193548138</v>
      </c>
      <c r="H101" s="247">
        <v>20266.923611294806</v>
      </c>
      <c r="I101" s="247">
        <v>7227.885561062805</v>
      </c>
      <c r="J101" s="128">
        <v>249553.35399999982</v>
      </c>
    </row>
    <row r="102">
      <c r="A102" s="245">
        <v>43500.97551991898</v>
      </c>
      <c r="B102" s="28">
        <v>0.029456300057866452</v>
      </c>
      <c r="C102" s="28">
        <v>0.051244267558222395</v>
      </c>
      <c r="D102" s="28">
        <v>0.06272440941580976</v>
      </c>
      <c r="E102" s="28">
        <v>9.281036011568323E-4</v>
      </c>
      <c r="F102" s="247">
        <v>697.6833273308584</v>
      </c>
      <c r="G102" s="246">
        <v>17382.24779356169</v>
      </c>
      <c r="H102" s="247">
        <v>20302.052611294806</v>
      </c>
      <c r="I102" s="247">
        <v>7204.891786869257</v>
      </c>
      <c r="J102" s="128">
        <v>244082.48199999996</v>
      </c>
    </row>
    <row r="103">
      <c r="A103" s="245">
        <v>43497.97557833334</v>
      </c>
      <c r="B103" s="28">
        <v>0.027006315465674453</v>
      </c>
      <c r="C103" s="28">
        <v>0.05137291425502128</v>
      </c>
      <c r="D103" s="28">
        <v>0.06035794308978833</v>
      </c>
      <c r="E103" s="28">
        <v>-0.003583582895144219</v>
      </c>
      <c r="F103" s="247">
        <v>-2691.3865916575887</v>
      </c>
      <c r="G103" s="246">
        <v>16684.564466230833</v>
      </c>
      <c r="H103" s="247">
        <v>20302.052611294806</v>
      </c>
      <c r="I103" s="247">
        <v>7204.891786869257</v>
      </c>
      <c r="J103" s="128">
        <v>243129.31999999995</v>
      </c>
    </row>
    <row r="104">
      <c r="A104" s="245">
        <v>43496.975524027774</v>
      </c>
      <c r="B104" s="28">
        <v>0.036773426189627166</v>
      </c>
      <c r="C104" s="28">
        <v>0.05141594014635714</v>
      </c>
      <c r="D104" s="28">
        <v>0.07015298650019339</v>
      </c>
      <c r="E104" s="28">
        <v>5.169332524073608E-4</v>
      </c>
      <c r="F104" s="247">
        <v>391.20466976371245</v>
      </c>
      <c r="G104" s="246">
        <v>19375.951057888422</v>
      </c>
      <c r="H104" s="247">
        <v>20419.948611294807</v>
      </c>
      <c r="I104" s="247">
        <v>7176.404503715134</v>
      </c>
      <c r="J104" s="128">
        <v>246531.91399999982</v>
      </c>
    </row>
    <row r="105">
      <c r="A105" s="245">
        <v>43495.97553278935</v>
      </c>
      <c r="B105" s="28">
        <v>0.03722171096433967</v>
      </c>
      <c r="C105" s="28">
        <v>0.05412755793040371</v>
      </c>
      <c r="D105" s="28">
        <v>0.0723616710478973</v>
      </c>
      <c r="E105" s="28">
        <v>0.0045878824620292765</v>
      </c>
      <c r="F105" s="247">
        <v>3490.7917927453527</v>
      </c>
      <c r="G105" s="246">
        <v>18984.74638812471</v>
      </c>
      <c r="H105" s="247">
        <v>20893.229611294802</v>
      </c>
      <c r="I105" s="247">
        <v>7191.161396188249</v>
      </c>
      <c r="J105" s="128">
        <v>241341.62799999974</v>
      </c>
    </row>
    <row r="106">
      <c r="A106" s="245">
        <v>43494.97551300926</v>
      </c>
      <c r="B106" s="28">
        <v>0.0239363811615927</v>
      </c>
      <c r="C106" s="28">
        <v>0.05417296695551311</v>
      </c>
      <c r="D106" s="28">
        <v>0.05910582107743519</v>
      </c>
      <c r="E106" s="28">
        <v>0.00242895917613545</v>
      </c>
      <c r="F106" s="247">
        <v>1839.6482939199777</v>
      </c>
      <c r="G106" s="246">
        <v>15493.954595379357</v>
      </c>
      <c r="H106" s="247">
        <v>20893.229611294802</v>
      </c>
      <c r="I106" s="247">
        <v>7191.161396188249</v>
      </c>
      <c r="J106" s="128">
        <v>237838.98899999965</v>
      </c>
    </row>
    <row r="107">
      <c r="A107" s="245">
        <v>43493.97552467593</v>
      </c>
      <c r="B107" s="28">
        <v>0.016932757558255056</v>
      </c>
      <c r="C107" s="28">
        <v>0.054218452234233105</v>
      </c>
      <c r="D107" s="28">
        <v>0.052131726810718745</v>
      </c>
      <c r="E107" s="28">
        <v>-0.007693064970859943</v>
      </c>
      <c r="F107" s="247">
        <v>-5812.4311270489125</v>
      </c>
      <c r="G107" s="246">
        <v>13654.306301459379</v>
      </c>
      <c r="H107" s="247">
        <v>20893.229611294802</v>
      </c>
      <c r="I107" s="247">
        <v>7191.161396188249</v>
      </c>
      <c r="J107" s="128">
        <v>236371.3799999997</v>
      </c>
    </row>
    <row r="108">
      <c r="A108" s="245">
        <v>43490.97550826389</v>
      </c>
      <c r="B108" s="28">
        <v>0.03922324219057132</v>
      </c>
      <c r="C108" s="28">
        <v>0.05435536751765289</v>
      </c>
      <c r="D108" s="28">
        <v>0.07451109772902609</v>
      </c>
      <c r="E108" s="28">
        <v>-0.0019361584535712367</v>
      </c>
      <c r="F108" s="247">
        <v>-1474.102171897306</v>
      </c>
      <c r="G108" s="246">
        <v>19466.73742850829</v>
      </c>
      <c r="H108" s="247">
        <v>20893.229611294802</v>
      </c>
      <c r="I108" s="247">
        <v>7191.161396188249</v>
      </c>
      <c r="J108" s="128">
        <v>241830.1369999997</v>
      </c>
    </row>
    <row r="109">
      <c r="A109" s="245">
        <v>43489.97557335648</v>
      </c>
      <c r="B109" s="28">
        <v>0.04490332924963466</v>
      </c>
      <c r="C109" s="28">
        <v>0.054401159739655966</v>
      </c>
      <c r="D109" s="28">
        <v>0.08022091339427177</v>
      </c>
      <c r="E109" s="28">
        <v>0.007616530818222409</v>
      </c>
      <c r="F109" s="247">
        <v>5810.104491265607</v>
      </c>
      <c r="G109" s="246">
        <v>20940.839600405598</v>
      </c>
      <c r="H109" s="247">
        <v>20893.229611294802</v>
      </c>
      <c r="I109" s="247">
        <v>7191.161396188249</v>
      </c>
      <c r="J109" s="128">
        <v>243433.75099999964</v>
      </c>
    </row>
    <row r="110">
      <c r="A110" s="245">
        <v>43488.975535833335</v>
      </c>
      <c r="B110" s="28">
        <v>0.022664868491817983</v>
      </c>
      <c r="C110" s="28">
        <v>0.05444702918294404</v>
      </c>
      <c r="D110" s="28">
        <v>0.05801223137519425</v>
      </c>
      <c r="E110" s="28">
        <v>-0.0038576112151739606</v>
      </c>
      <c r="F110" s="247">
        <v>-2920.281493782648</v>
      </c>
      <c r="G110" s="246">
        <v>15130.73510913999</v>
      </c>
      <c r="H110" s="247">
        <v>20893.229611294802</v>
      </c>
      <c r="I110" s="247">
        <v>7191.161396188249</v>
      </c>
      <c r="J110" s="128">
        <v>237766.64799999964</v>
      </c>
    </row>
    <row r="111">
      <c r="A111" s="245">
        <v>43487.97551689815</v>
      </c>
      <c r="B111" s="28">
        <v>0.03388999442227544</v>
      </c>
      <c r="C111" s="28">
        <v>0.054492976043014035</v>
      </c>
      <c r="D111" s="28">
        <v>0.06926718630386554</v>
      </c>
      <c r="E111" s="28">
        <v>4.7964314015156036E-4</v>
      </c>
      <c r="F111" s="247">
        <v>364.49922927550506</v>
      </c>
      <c r="G111" s="246">
        <v>18051.01660292264</v>
      </c>
      <c r="H111" s="247">
        <v>20893.229611294802</v>
      </c>
      <c r="I111" s="247">
        <v>7191.161396188249</v>
      </c>
      <c r="J111" s="128">
        <v>240608.52499999962</v>
      </c>
    </row>
    <row r="112">
      <c r="A112" s="245">
        <v>43486.97550305555</v>
      </c>
      <c r="B112" s="28">
        <v>0.03251874309729336</v>
      </c>
      <c r="C112" s="28">
        <v>0.05453900051602333</v>
      </c>
      <c r="D112" s="28">
        <v>0.06792581436391858</v>
      </c>
      <c r="E112" s="28">
        <v>-0.0014131464860994798</v>
      </c>
      <c r="F112" s="247">
        <v>-1073.3891557435272</v>
      </c>
      <c r="G112" s="246">
        <v>17686.517373647133</v>
      </c>
      <c r="H112" s="247">
        <v>20893.229611294802</v>
      </c>
      <c r="I112" s="247">
        <v>7191.161396188249</v>
      </c>
      <c r="J112" s="128">
        <v>240119.99699999957</v>
      </c>
    </row>
    <row r="113">
      <c r="A113" s="245">
        <v>43483.97549008102</v>
      </c>
      <c r="B113" s="28">
        <v>0.03673421588727155</v>
      </c>
      <c r="C113" s="28">
        <v>0.05467754158422661</v>
      </c>
      <c r="D113" s="28">
        <v>0.07223122890986618</v>
      </c>
      <c r="E113" s="28">
        <v>0.005216037794641223</v>
      </c>
      <c r="F113" s="247">
        <v>3974.5143220823957</v>
      </c>
      <c r="G113" s="246">
        <v>18759.90652939066</v>
      </c>
      <c r="H113" s="247">
        <v>20958.949611294804</v>
      </c>
      <c r="I113" s="247">
        <v>7192.300535973194</v>
      </c>
      <c r="J113" s="128">
        <v>241057.9909999995</v>
      </c>
    </row>
    <row r="114">
      <c r="A114" s="245">
        <v>43482.975494976854</v>
      </c>
      <c r="B114" s="28">
        <v>0.021449313690971056</v>
      </c>
      <c r="C114" s="28">
        <v>0.05472387848387426</v>
      </c>
      <c r="D114" s="28">
        <v>0.056976408927991606</v>
      </c>
      <c r="E114" s="28">
        <v>0.0016933254858100444</v>
      </c>
      <c r="F114" s="247">
        <v>1283.5493071419187</v>
      </c>
      <c r="G114" s="246">
        <v>14785.392207308265</v>
      </c>
      <c r="H114" s="247">
        <v>20958.949611294804</v>
      </c>
      <c r="I114" s="247">
        <v>7192.300535973194</v>
      </c>
      <c r="J114" s="128">
        <v>237145.39599999978</v>
      </c>
    </row>
    <row r="115">
      <c r="A115" s="245">
        <v>43481.97549166667</v>
      </c>
      <c r="B115" s="28">
        <v>0.01651707582203306</v>
      </c>
      <c r="C115" s="28">
        <v>0.05477029398725329</v>
      </c>
      <c r="D115" s="28">
        <v>0.05207430430352945</v>
      </c>
      <c r="E115" s="28">
        <v>0.0019763799894292103</v>
      </c>
      <c r="F115" s="247">
        <v>1495.5692754302872</v>
      </c>
      <c r="G115" s="246">
        <v>13501.842900166346</v>
      </c>
      <c r="H115" s="247">
        <v>20958.949611294804</v>
      </c>
      <c r="I115" s="247">
        <v>7192.300535973194</v>
      </c>
      <c r="J115" s="128">
        <v>236008.79999999976</v>
      </c>
    </row>
    <row r="116">
      <c r="A116" s="245">
        <v>43480.97549563657</v>
      </c>
      <c r="B116" s="28">
        <v>0.010758045029492298</v>
      </c>
      <c r="C116" s="28">
        <v>0.05481678829454298</v>
      </c>
      <c r="D116" s="28">
        <v>0.046345457915472135</v>
      </c>
      <c r="E116" s="28">
        <v>0.0070173088007806275</v>
      </c>
      <c r="F116" s="247">
        <v>5299.653730948805</v>
      </c>
      <c r="G116" s="246">
        <v>12006.273624736059</v>
      </c>
      <c r="H116" s="247">
        <v>20958.949611294804</v>
      </c>
      <c r="I116" s="247">
        <v>7192.300535973194</v>
      </c>
      <c r="J116" s="128">
        <v>234202.12899999955</v>
      </c>
    </row>
    <row r="117">
      <c r="A117" s="245">
        <v>43479.975508020834</v>
      </c>
      <c r="B117" s="28">
        <v>-0.010305420120917733</v>
      </c>
      <c r="C117" s="28">
        <v>0.05546137466659266</v>
      </c>
      <c r="D117" s="28">
        <v>0.02591024151994224</v>
      </c>
      <c r="E117" s="28">
        <v>-0.001334928398838132</v>
      </c>
      <c r="F117" s="247">
        <v>-1005.1764414050849</v>
      </c>
      <c r="G117" s="246">
        <v>6706.619893787254</v>
      </c>
      <c r="H117" s="247">
        <v>20958.949611294804</v>
      </c>
      <c r="I117" s="247">
        <v>7192.300535973194</v>
      </c>
      <c r="J117" s="128">
        <v>228839.74699999957</v>
      </c>
    </row>
    <row r="118">
      <c r="A118" s="245">
        <v>43476.97549700231</v>
      </c>
      <c r="B118" s="28">
        <v>-0.006438449170585737</v>
      </c>
      <c r="C118" s="28">
        <v>0.055603098792657214</v>
      </c>
      <c r="D118" s="28">
        <v>0.029869756750446792</v>
      </c>
      <c r="E118" s="28">
        <v>0.004726272396820027</v>
      </c>
      <c r="F118" s="247">
        <v>3548.3751288020285</v>
      </c>
      <c r="G118" s="246">
        <v>7711.796335192339</v>
      </c>
      <c r="H118" s="247">
        <v>20958.949611294804</v>
      </c>
      <c r="I118" s="247">
        <v>7192.300535973194</v>
      </c>
      <c r="J118" s="128">
        <v>230302.59199999977</v>
      </c>
    </row>
    <row r="119">
      <c r="A119" s="245">
        <v>43475.97551362269</v>
      </c>
      <c r="B119" s="28">
        <v>-0.020199417914175715</v>
      </c>
      <c r="C119" s="28">
        <v>0.0556505012639212</v>
      </c>
      <c r="D119" s="28">
        <v>0.016139741294087018</v>
      </c>
      <c r="E119" s="28">
        <v>0.0031382181289043042</v>
      </c>
      <c r="F119" s="247">
        <v>2344.9654326584423</v>
      </c>
      <c r="G119" s="246">
        <v>4163.4212063903105</v>
      </c>
      <c r="H119" s="247">
        <v>20958.949611294804</v>
      </c>
      <c r="I119" s="247">
        <v>7192.300535973194</v>
      </c>
      <c r="J119" s="128">
        <v>226953.62599999964</v>
      </c>
    </row>
    <row r="120">
      <c r="A120" s="245">
        <v>43474.975515439815</v>
      </c>
      <c r="B120" s="28">
        <v>-0.02931480232524232</v>
      </c>
      <c r="C120" s="28">
        <v>0.055697984626774374</v>
      </c>
      <c r="D120" s="28">
        <v>0.007055362991559888</v>
      </c>
      <c r="E120" s="28">
        <v>-0.006194160276295573</v>
      </c>
      <c r="F120" s="247">
        <v>-4613.926830865792</v>
      </c>
      <c r="G120" s="246">
        <v>1818.4557737318682</v>
      </c>
      <c r="H120" s="247">
        <v>20958.949611294804</v>
      </c>
      <c r="I120" s="247">
        <v>7192.300535973194</v>
      </c>
      <c r="J120" s="128">
        <v>226354.3009999997</v>
      </c>
    </row>
    <row r="121">
      <c r="A121" s="245">
        <v>43473.97549445602</v>
      </c>
      <c r="B121" s="28">
        <v>-0.006953325510828848</v>
      </c>
      <c r="C121" s="28">
        <v>0.0512757390004923</v>
      </c>
      <c r="D121" s="28">
        <v>0.024978088783184048</v>
      </c>
      <c r="E121" s="28">
        <v>7.389663978673024E-5</v>
      </c>
      <c r="F121" s="247">
        <v>55.57760459772544</v>
      </c>
      <c r="G121" s="246">
        <v>6432.38260459766</v>
      </c>
      <c r="H121" s="247">
        <v>21092.807611294804</v>
      </c>
      <c r="I121" s="247">
        <v>7252.966894396133</v>
      </c>
      <c r="J121" s="128">
        <v>229157.32399999938</v>
      </c>
    </row>
    <row r="122">
      <c r="A122" s="245">
        <v>43472.975529999996</v>
      </c>
      <c r="B122" s="28">
        <v>-0.007175270733877996</v>
      </c>
      <c r="C122" s="28">
        <v>0.05131956441844144</v>
      </c>
      <c r="D122" s="28">
        <v>0.0247834353672238</v>
      </c>
      <c r="E122" s="28">
        <v>0.001027493757912736</v>
      </c>
      <c r="F122" s="247">
        <v>756.3123805186478</v>
      </c>
      <c r="G122" s="246">
        <v>6376.804999999935</v>
      </c>
      <c r="H122" s="247">
        <v>21684.819610080307</v>
      </c>
      <c r="I122" s="247">
        <v>8074.494993206042</v>
      </c>
      <c r="J122" s="128">
        <v>228894.37599999981</v>
      </c>
    </row>
    <row r="123">
      <c r="A123" s="245">
        <v>43469.97551916666</v>
      </c>
      <c r="B123" s="28">
        <v>-0.010140678492763924</v>
      </c>
      <c r="C123" s="28">
        <v>0.05145149131926005</v>
      </c>
      <c r="D123" s="28">
        <v>0.021900183665153044</v>
      </c>
      <c r="E123" s="28">
        <v>8.357106871301597E-4</v>
      </c>
      <c r="F123" s="247">
        <v>614.5136146547156</v>
      </c>
      <c r="G123" s="246">
        <v>5620.492619481287</v>
      </c>
      <c r="H123" s="247">
        <v>21684.819610080307</v>
      </c>
      <c r="I123" s="247">
        <v>8074.494993206042</v>
      </c>
      <c r="J123" s="128">
        <v>228345.5839999998</v>
      </c>
    </row>
    <row r="124">
      <c r="A124" s="245">
        <v>43468.975556226855</v>
      </c>
      <c r="B124" s="28">
        <v>-0.012545874129958846</v>
      </c>
      <c r="C124" s="28">
        <v>0.0514956178126728</v>
      </c>
      <c r="D124" s="28">
        <v>0.019522467326549817</v>
      </c>
      <c r="E124" s="28">
        <v>-0.002780077084925396</v>
      </c>
      <c r="F124" s="247">
        <v>-2042.5340020433068</v>
      </c>
      <c r="G124" s="246">
        <v>5005.979004826571</v>
      </c>
      <c r="H124" s="247">
        <v>21684.819610080307</v>
      </c>
      <c r="I124" s="247">
        <v>8074.494993206042</v>
      </c>
      <c r="J124" s="128">
        <v>228951.80100000004</v>
      </c>
    </row>
    <row r="125">
      <c r="A125" s="245">
        <v>43467.975532094904</v>
      </c>
      <c r="B125" s="28">
        <v>-0.004584270282478509</v>
      </c>
      <c r="C125" s="28">
        <v>0.0515398200597223</v>
      </c>
      <c r="D125" s="28">
        <v>0.027511597647383382</v>
      </c>
      <c r="E125" s="28">
        <v>0.01146820804725108</v>
      </c>
      <c r="F125" s="247">
        <v>8435.013006869878</v>
      </c>
      <c r="G125" s="246">
        <v>7048.513006869878</v>
      </c>
      <c r="H125" s="247">
        <v>21684.819610080307</v>
      </c>
      <c r="I125" s="247">
        <v>8074.494993206042</v>
      </c>
      <c r="J125" s="128">
        <v>230961.1870000001</v>
      </c>
    </row>
    <row r="126">
      <c r="A126" s="245">
        <v>43465.0</v>
      </c>
      <c r="B126" s="28">
        <v>-0.0416</v>
      </c>
      <c r="C126" s="28">
        <v>0.0541</v>
      </c>
      <c r="D126" s="28">
        <v>-0.0057</v>
      </c>
      <c r="E126" s="28">
        <v>0.0094</v>
      </c>
      <c r="F126" s="247">
        <v>6809.818670859677</v>
      </c>
      <c r="G126" s="246">
        <v>-1386.5</v>
      </c>
      <c r="H126" s="247">
        <v>21149.82161008031</v>
      </c>
      <c r="I126" s="247">
        <v>7649.793222596724</v>
      </c>
      <c r="J126" s="128">
        <v>222568.43100000004</v>
      </c>
    </row>
    <row r="127">
      <c r="A127" s="245">
        <v>43462.97555304398</v>
      </c>
      <c r="B127" s="28">
        <v>-0.05225137458198277</v>
      </c>
      <c r="C127" s="28">
        <v>0.03683163480615135</v>
      </c>
      <c r="D127" s="28">
        <v>-0.0337077392428632</v>
      </c>
      <c r="E127" s="28">
        <v>0.001084210170852612</v>
      </c>
      <c r="F127" s="247">
        <v>781.3461984310998</v>
      </c>
      <c r="G127" s="246">
        <v>-8196.318670859677</v>
      </c>
      <c r="H127" s="247">
        <v>21149.82161008031</v>
      </c>
      <c r="I127" s="247">
        <v>7649.793222596724</v>
      </c>
      <c r="J127" s="128">
        <v>216461.74599999998</v>
      </c>
    </row>
    <row r="128">
      <c r="A128" s="245">
        <v>43461.97553350695</v>
      </c>
      <c r="B128" s="28">
        <v>-0.05551255257371618</v>
      </c>
      <c r="C128" s="28">
        <v>0.03686341361098841</v>
      </c>
      <c r="D128" s="28">
        <v>-0.03695291754923068</v>
      </c>
      <c r="E128" s="28">
        <v>0.004305798741420034</v>
      </c>
      <c r="F128" s="247">
        <v>3099.6498084677733</v>
      </c>
      <c r="G128" s="246">
        <v>-8977.664869290777</v>
      </c>
      <c r="H128" s="247">
        <v>21149.82161008031</v>
      </c>
      <c r="I128" s="247">
        <v>7649.793222596724</v>
      </c>
      <c r="J128" s="128">
        <v>215164.77000000008</v>
      </c>
    </row>
    <row r="129">
      <c r="A129" s="245">
        <v>43458.975581516206</v>
      </c>
      <c r="B129" s="28">
        <v>-0.06844817818147665</v>
      </c>
      <c r="C129" s="28">
        <v>0.036959079909286825</v>
      </c>
      <c r="D129" s="28">
        <v>-0.04984037801419405</v>
      </c>
      <c r="E129" s="28">
        <v>-0.007241766630802091</v>
      </c>
      <c r="F129" s="247">
        <v>-5248.528845272958</v>
      </c>
      <c r="G129" s="246">
        <v>-12077.31467775855</v>
      </c>
      <c r="H129" s="247">
        <v>21189.64899379261</v>
      </c>
      <c r="I129" s="247">
        <v>7454.354995021294</v>
      </c>
      <c r="J129" s="128">
        <v>210544.79399999965</v>
      </c>
    </row>
    <row r="130">
      <c r="A130" s="245">
        <v>43455.9755625463</v>
      </c>
      <c r="B130" s="28">
        <v>-0.046910412674121896</v>
      </c>
      <c r="C130" s="28">
        <v>0.03705524403741159</v>
      </c>
      <c r="D130" s="28">
        <v>-0.028254196721495102</v>
      </c>
      <c r="E130" s="28">
        <v>-0.0032816562464081152</v>
      </c>
      <c r="F130" s="247">
        <v>-2395.6307324855006</v>
      </c>
      <c r="G130" s="246">
        <v>-6828.7858324855915</v>
      </c>
      <c r="H130" s="247">
        <v>21189.64899379261</v>
      </c>
      <c r="I130" s="247">
        <v>7454.354995021294</v>
      </c>
      <c r="J130" s="128">
        <v>217657.76899999985</v>
      </c>
    </row>
    <row r="131">
      <c r="A131" s="245">
        <v>43454.97555884259</v>
      </c>
      <c r="B131" s="28">
        <v>-0.03703057378825105</v>
      </c>
      <c r="C131" s="28">
        <v>0.03708741004786073</v>
      </c>
      <c r="D131" s="28">
        <v>-0.018358163203720933</v>
      </c>
      <c r="E131" s="28">
        <v>-0.006360038926212828</v>
      </c>
      <c r="F131" s="247">
        <v>-4675.418749566423</v>
      </c>
      <c r="G131" s="246">
        <v>-4433.155100000091</v>
      </c>
      <c r="H131" s="247">
        <v>21247.348993792606</v>
      </c>
      <c r="I131" s="247">
        <v>7386.752127637782</v>
      </c>
      <c r="J131" s="128">
        <v>220767.27299999987</v>
      </c>
    </row>
    <row r="132">
      <c r="A132" s="245">
        <v>43453.975029305555</v>
      </c>
      <c r="B132" s="28">
        <v>-0.017684522387828652</v>
      </c>
      <c r="C132" s="28">
        <v>0.03711963195059562</v>
      </c>
      <c r="D132" s="28">
        <v>0.0010041109687123503</v>
      </c>
      <c r="E132" s="28">
        <v>-5.519938965814329E-4</v>
      </c>
      <c r="F132" s="247">
        <v>-411.12577378045535</v>
      </c>
      <c r="G132" s="246">
        <v>242.26364956633188</v>
      </c>
      <c r="H132" s="247">
        <v>20648.00835523921</v>
      </c>
      <c r="I132" s="247">
        <v>6865.310523516509</v>
      </c>
      <c r="J132" s="128">
        <v>224405.60899999965</v>
      </c>
    </row>
    <row r="133">
      <c r="A133" s="245">
        <v>43452.97457569445</v>
      </c>
      <c r="B133" s="28">
        <v>-0.015994424112389268</v>
      </c>
      <c r="C133" s="28">
        <v>0.03715190989142223</v>
      </c>
      <c r="D133" s="28">
        <v>0.002710460229679158</v>
      </c>
      <c r="E133" s="28">
        <v>-0.0035291119476894314</v>
      </c>
      <c r="F133" s="247">
        <v>-2646.2075766524067</v>
      </c>
      <c r="G133" s="246">
        <v>653.3894233467872</v>
      </c>
      <c r="H133" s="247">
        <v>20672.858011672644</v>
      </c>
      <c r="I133" s="247">
        <v>6819.9843648238875</v>
      </c>
      <c r="J133" s="128">
        <v>225193.2799999992</v>
      </c>
    </row>
    <row r="134">
      <c r="A134" s="245">
        <v>43451.973419444446</v>
      </c>
      <c r="B134" s="28">
        <v>-0.0050215079674967135</v>
      </c>
      <c r="C134" s="28">
        <v>0.0371842440166541</v>
      </c>
      <c r="D134" s="28">
        <v>0.013699655647280215</v>
      </c>
      <c r="E134" s="28">
        <v>-0.006262533561564313</v>
      </c>
      <c r="F134" s="247">
        <v>-4734.547498141648</v>
      </c>
      <c r="G134" s="246">
        <v>3299.596999999194</v>
      </c>
      <c r="H134" s="247">
        <v>20752.80801167265</v>
      </c>
      <c r="I134" s="247">
        <v>6739.564293139301</v>
      </c>
      <c r="J134" s="128">
        <v>227868.4429999994</v>
      </c>
    </row>
    <row r="135">
      <c r="A135" s="245">
        <v>43448.97341672453</v>
      </c>
      <c r="B135" s="28">
        <v>0.014674216614063897</v>
      </c>
      <c r="C135" s="28">
        <v>0.037281584969577286</v>
      </c>
      <c r="D135" s="28">
        <v>0.03344443013842236</v>
      </c>
      <c r="E135" s="28">
        <v>0.0023467760345307833</v>
      </c>
      <c r="F135" s="247">
        <v>1765.2667218117858</v>
      </c>
      <c r="G135" s="246">
        <v>8034.144498140842</v>
      </c>
      <c r="H135" s="247">
        <v>20133.196011672648</v>
      </c>
      <c r="I135" s="247">
        <v>6541.880579877656</v>
      </c>
      <c r="J135" s="128">
        <v>232804.1599999995</v>
      </c>
    </row>
    <row r="136">
      <c r="A136" s="245">
        <v>43447.99310577546</v>
      </c>
      <c r="B136" s="28">
        <v>0.007332185789859323</v>
      </c>
      <c r="C136" s="28">
        <v>0.03731414530579526</v>
      </c>
      <c r="D136" s="28">
        <v>0.02611879251380238</v>
      </c>
      <c r="E136" s="28">
        <v>-0.008847251440605546</v>
      </c>
      <c r="F136" s="247">
        <v>-6713.952874382841</v>
      </c>
      <c r="G136" s="246">
        <v>6268.877776329056</v>
      </c>
      <c r="H136" s="247">
        <v>20567.726011672647</v>
      </c>
      <c r="I136" s="247">
        <v>6567.398465182312</v>
      </c>
      <c r="J136" s="128">
        <v>230880.86199999927</v>
      </c>
    </row>
    <row r="137">
      <c r="A137" s="245">
        <v>43446.97483011574</v>
      </c>
      <c r="B137" s="28">
        <v>0.03533621046143479</v>
      </c>
      <c r="C137" s="28">
        <v>0.03734676256567794</v>
      </c>
      <c r="D137" s="28">
        <v>0.05413923904440227</v>
      </c>
      <c r="E137" s="28">
        <v>0.007379151831654422</v>
      </c>
      <c r="F137" s="247">
        <v>2824.696450686024</v>
      </c>
      <c r="G137" s="246">
        <v>12982.830650711898</v>
      </c>
      <c r="H137" s="247">
        <v>20567.726011672647</v>
      </c>
      <c r="I137" s="247">
        <v>6567.398465182312</v>
      </c>
      <c r="J137" s="128">
        <v>238017.6219999994</v>
      </c>
    </row>
    <row r="138">
      <c r="A138" s="245">
        <v>43445.0</v>
      </c>
      <c r="B138" s="28">
        <v>0.023567357918289823</v>
      </c>
      <c r="C138" s="28">
        <v>0.03737946551013125</v>
      </c>
      <c r="D138" s="28">
        <v>0.042386851500016476</v>
      </c>
      <c r="E138" s="28">
        <v>0.007379151831654422</v>
      </c>
      <c r="F138" s="247">
        <v>2824.696450686024</v>
      </c>
      <c r="G138" s="246">
        <v>10158.134200025874</v>
      </c>
      <c r="H138" s="247">
        <v>20567.726011672647</v>
      </c>
      <c r="I138" s="247">
        <v>6567.398465182312</v>
      </c>
      <c r="J138" s="128">
        <v>240499.3129999995</v>
      </c>
    </row>
    <row r="139">
      <c r="A139" s="245">
        <v>43444.97340633102</v>
      </c>
      <c r="B139" s="28">
        <v>0.011798505375144859</v>
      </c>
      <c r="C139" s="28">
        <v>0.03741216845458456</v>
      </c>
      <c r="D139" s="28">
        <v>0.030634463955630672</v>
      </c>
      <c r="E139" s="28">
        <v>-0.0037012082581133606</v>
      </c>
      <c r="F139" s="247">
        <v>-2812.692457120167</v>
      </c>
      <c r="G139" s="246">
        <v>7333.43774933985</v>
      </c>
      <c r="H139" s="247">
        <v>20567.726011672647</v>
      </c>
      <c r="I139" s="247">
        <v>6567.398465182312</v>
      </c>
      <c r="J139" s="128">
        <v>232461.03799999948</v>
      </c>
    </row>
    <row r="140">
      <c r="A140" s="245">
        <v>43441.97344800926</v>
      </c>
      <c r="B140" s="28">
        <v>0.023610178453431222</v>
      </c>
      <c r="C140" s="28">
        <v>0.03751070796763439</v>
      </c>
      <c r="D140" s="28">
        <v>0.04249574886512113</v>
      </c>
      <c r="E140" s="28">
        <v>-0.0019271621841113072</v>
      </c>
      <c r="F140" s="247">
        <v>-1469.946193961252</v>
      </c>
      <c r="G140" s="246">
        <v>10146.130206460017</v>
      </c>
      <c r="H140" s="247">
        <v>20567.726011672647</v>
      </c>
      <c r="I140" s="247">
        <v>6567.398465182312</v>
      </c>
      <c r="J140" s="128">
        <v>234298.82899999944</v>
      </c>
    </row>
    <row r="141">
      <c r="A141" s="245">
        <v>43440.97339533565</v>
      </c>
      <c r="B141" s="28">
        <v>0.02979301437805489</v>
      </c>
      <c r="C141" s="28">
        <v>0.03754366992542668</v>
      </c>
      <c r="D141" s="28">
        <v>0.048695180194324485</v>
      </c>
      <c r="E141" s="28">
        <v>-0.002758145533248564</v>
      </c>
      <c r="F141" s="247">
        <v>-2091.4319944336894</v>
      </c>
      <c r="G141" s="246">
        <v>11616.076400421269</v>
      </c>
      <c r="H141" s="247">
        <v>20420.83901167265</v>
      </c>
      <c r="I141" s="247">
        <v>6574.753999232493</v>
      </c>
      <c r="J141" s="128">
        <v>234267.5419999995</v>
      </c>
    </row>
    <row r="142">
      <c r="A142" s="245">
        <v>43439.97343138889</v>
      </c>
      <c r="B142" s="28">
        <v>0.038594317315082255</v>
      </c>
      <c r="C142" s="28">
        <v>0.03757668986379557</v>
      </c>
      <c r="D142" s="28">
        <v>0.05751310772749632</v>
      </c>
      <c r="E142" s="28">
        <v>-0.005489546817800433</v>
      </c>
      <c r="F142" s="247">
        <v>-4124.768616428279</v>
      </c>
      <c r="G142" s="246">
        <v>13707.508394854958</v>
      </c>
      <c r="H142" s="247">
        <v>19927.523430807654</v>
      </c>
      <c r="I142" s="247">
        <v>6566.102454554804</v>
      </c>
      <c r="J142" s="128">
        <v>238585.85999999987</v>
      </c>
    </row>
    <row r="143">
      <c r="A143" s="245">
        <v>43438.97348383102</v>
      </c>
      <c r="B143" s="28">
        <v>0.05351820781477613</v>
      </c>
      <c r="C143" s="28">
        <v>0.03760976793585877</v>
      </c>
      <c r="D143" s="28">
        <v>0.07488541659174172</v>
      </c>
      <c r="E143" s="28">
        <v>0.00648527944191245</v>
      </c>
      <c r="F143" s="247">
        <v>4899.698445441783</v>
      </c>
      <c r="G143" s="246">
        <v>17832.277011283237</v>
      </c>
      <c r="H143" s="247">
        <v>19927.523430807654</v>
      </c>
      <c r="I143" s="247">
        <v>6566.102454554804</v>
      </c>
      <c r="J143" s="128">
        <v>242332.2529999998</v>
      </c>
    </row>
    <row r="144">
      <c r="A144" s="245">
        <v>43437.973497962965</v>
      </c>
      <c r="B144" s="28">
        <v>0.03297128637171939</v>
      </c>
      <c r="C144" s="28">
        <v>0.03764290429527363</v>
      </c>
      <c r="D144" s="28">
        <v>0.05435732088329025</v>
      </c>
      <c r="E144" s="28">
        <v>0.004040859480410558</v>
      </c>
      <c r="F144" s="247">
        <v>3033.11385251538</v>
      </c>
      <c r="G144" s="246">
        <v>12932.578565841453</v>
      </c>
      <c r="H144" s="247">
        <v>19927.523430807654</v>
      </c>
      <c r="I144" s="247">
        <v>6566.102454554804</v>
      </c>
      <c r="J144" s="128">
        <v>239913.48500000004</v>
      </c>
    </row>
    <row r="145">
      <c r="A145" s="245">
        <v>43434.97342417824</v>
      </c>
      <c r="B145" s="28">
        <v>0.02148381556287543</v>
      </c>
      <c r="C145" s="28">
        <v>0.04000248341561938</v>
      </c>
      <c r="D145" s="28">
        <v>0.04421691719201773</v>
      </c>
      <c r="E145" s="28">
        <v>0.006452583308599906</v>
      </c>
      <c r="F145" s="247">
        <v>4823.818517757929</v>
      </c>
      <c r="G145" s="246">
        <v>9899.464713326073</v>
      </c>
      <c r="H145" s="247">
        <v>19927.523430807654</v>
      </c>
      <c r="I145" s="247">
        <v>6566.102454554804</v>
      </c>
      <c r="J145" s="128">
        <v>235610.6380000001</v>
      </c>
    </row>
    <row r="146">
      <c r="A146" s="245">
        <v>43433.97351476851</v>
      </c>
      <c r="B146" s="28">
        <v>-9.781724778423037E-4</v>
      </c>
      <c r="C146" s="28">
        <v>0.04095373330715423</v>
      </c>
      <c r="D146" s="28">
        <v>0.022690909916586864</v>
      </c>
      <c r="E146" s="28">
        <v>0.002556147445337355</v>
      </c>
      <c r="F146" s="247">
        <v>1898.0691673596739</v>
      </c>
      <c r="G146" s="246">
        <v>5075.646195568144</v>
      </c>
      <c r="H146" s="247">
        <v>19927.523430807654</v>
      </c>
      <c r="I146" s="247">
        <v>6566.102454554804</v>
      </c>
      <c r="J146" s="128">
        <v>231323.56699999998</v>
      </c>
    </row>
    <row r="147">
      <c r="A147" s="245">
        <v>43432.973458611115</v>
      </c>
      <c r="B147" s="28">
        <v>-0.0020302292072537967</v>
      </c>
      <c r="C147" s="28">
        <v>0.033548251862023044</v>
      </c>
      <c r="D147" s="28">
        <v>0.014218075590793978</v>
      </c>
      <c r="E147" s="28">
        <v>0.0016319694728743124</v>
      </c>
      <c r="F147" s="247">
        <v>1213.29762213293</v>
      </c>
      <c r="G147" s="246">
        <v>3177.5770282084704</v>
      </c>
      <c r="H147" s="247">
        <v>19951.948430807657</v>
      </c>
      <c r="I147" s="247">
        <v>6536.710071042258</v>
      </c>
      <c r="J147" s="128">
        <v>231087.76899999974</v>
      </c>
    </row>
    <row r="148">
      <c r="A148" s="245">
        <v>43431.97346934028</v>
      </c>
      <c r="B148" s="28">
        <v>-0.007465739006978426</v>
      </c>
      <c r="C148" s="28">
        <v>0.0335779668769584</v>
      </c>
      <c r="D148" s="28">
        <v>0.008796957557940958</v>
      </c>
      <c r="E148" s="28">
        <v>0.0047875110802551215</v>
      </c>
      <c r="F148" s="247">
        <v>3553.495530645945</v>
      </c>
      <c r="G148" s="246">
        <v>1964.2794060755405</v>
      </c>
      <c r="H148" s="247">
        <v>19951.948430807657</v>
      </c>
      <c r="I148" s="247">
        <v>6536.710071042258</v>
      </c>
      <c r="J148" s="128">
        <v>228800.79599999986</v>
      </c>
    </row>
    <row r="149">
      <c r="A149" s="245">
        <v>43430.98210945602</v>
      </c>
      <c r="B149" s="28">
        <v>-0.023400673057898055</v>
      </c>
      <c r="C149" s="28">
        <v>0.03360773457809046</v>
      </c>
      <c r="D149" s="28">
        <v>-0.007123559208789915</v>
      </c>
      <c r="E149" s="28">
        <v>-6.755832735947918E-4</v>
      </c>
      <c r="F149" s="247">
        <v>-499.0461245699553</v>
      </c>
      <c r="G149" s="246">
        <v>-1589.2161245704046</v>
      </c>
      <c r="H149" s="247">
        <v>19951.948430807657</v>
      </c>
      <c r="I149" s="247">
        <v>6536.710071042258</v>
      </c>
      <c r="J149" s="128">
        <v>224678.60799999966</v>
      </c>
    </row>
    <row r="150">
      <c r="A150" s="245">
        <v>43427.97507409722</v>
      </c>
      <c r="B150" s="28">
        <v>-0.021220167472055875</v>
      </c>
      <c r="C150" s="28">
        <v>0.03369735520363203</v>
      </c>
      <c r="D150" s="28">
        <v>-0.004899647986016775</v>
      </c>
      <c r="E150" s="28">
        <v>0.00835091343669615</v>
      </c>
      <c r="F150" s="247">
        <v>6169.489999999874</v>
      </c>
      <c r="G150" s="246">
        <v>-1090.1700000004494</v>
      </c>
      <c r="H150" s="247">
        <v>19990.548139329352</v>
      </c>
      <c r="I150" s="247">
        <v>6522.467361350915</v>
      </c>
      <c r="J150" s="128">
        <v>225393.32299999986</v>
      </c>
    </row>
    <row r="151">
      <c r="A151" s="245">
        <v>43426.973485243056</v>
      </c>
      <c r="B151" s="28">
        <v>-0.04899180333650157</v>
      </c>
      <c r="C151" s="28">
        <v>0.03372733505701604</v>
      </c>
      <c r="D151" s="28">
        <v>-0.032656763815332536</v>
      </c>
      <c r="E151" s="28">
        <v>-0.004541538476153775</v>
      </c>
      <c r="F151" s="247">
        <v>-3327.1799999996438</v>
      </c>
      <c r="G151" s="246">
        <v>-7259.660000000324</v>
      </c>
      <c r="H151" s="247">
        <v>19990.548139329352</v>
      </c>
      <c r="I151" s="247">
        <v>6522.467361350915</v>
      </c>
      <c r="J151" s="128">
        <v>219597.71299999987</v>
      </c>
    </row>
    <row r="152">
      <c r="A152" s="245">
        <v>43425.9745921875</v>
      </c>
      <c r="B152" s="28">
        <v>-0.034055156588442916</v>
      </c>
      <c r="C152" s="28">
        <v>0.03375736830283707</v>
      </c>
      <c r="D152" s="28">
        <v>-0.017705571172775963</v>
      </c>
      <c r="E152" s="28">
        <v>-2.858866279816986E-4</v>
      </c>
      <c r="F152" s="247">
        <v>-212.70000000006985</v>
      </c>
      <c r="G152" s="246">
        <v>-3932.48000000068</v>
      </c>
      <c r="H152" s="247">
        <v>20296.145592402696</v>
      </c>
      <c r="I152" s="247">
        <v>6666.252424923379</v>
      </c>
      <c r="J152" s="128">
        <v>222767.86699999945</v>
      </c>
    </row>
    <row r="153">
      <c r="A153" s="245">
        <v>43424.97343309028</v>
      </c>
      <c r="B153" s="28">
        <v>-0.03312699621780172</v>
      </c>
      <c r="C153" s="28">
        <v>0.03378745508385565</v>
      </c>
      <c r="D153" s="28">
        <v>-0.01676283897912615</v>
      </c>
      <c r="E153" s="28">
        <v>9.259703177809274E-4</v>
      </c>
      <c r="F153" s="247">
        <v>689.1199999993896</v>
      </c>
      <c r="G153" s="246">
        <v>-3719.78000000061</v>
      </c>
      <c r="H153" s="247">
        <v>20296.145592402696</v>
      </c>
      <c r="I153" s="247">
        <v>6666.252424923379</v>
      </c>
      <c r="J153" s="128">
        <v>222597.36899999942</v>
      </c>
    </row>
    <row r="154">
      <c r="A154" s="245">
        <v>43423.0</v>
      </c>
      <c r="B154" s="28">
        <v>-0.0363</v>
      </c>
      <c r="C154" s="28">
        <v>0.0338</v>
      </c>
      <c r="D154" s="28">
        <v>-0.0199</v>
      </c>
      <c r="E154" s="28">
        <v>-0.0048</v>
      </c>
      <c r="F154" s="247">
        <v>-3537.7499999993943</v>
      </c>
      <c r="G154" s="246">
        <v>-4408.9</v>
      </c>
      <c r="H154" s="247">
        <v>20296.145592402696</v>
      </c>
      <c r="I154" s="247">
        <v>6666.252424923379</v>
      </c>
      <c r="J154" s="128">
        <v>222759.83599999972</v>
      </c>
    </row>
    <row r="155">
      <c r="A155" s="245">
        <v>43420.0</v>
      </c>
      <c r="B155" s="28">
        <v>-0.0203261899733562</v>
      </c>
      <c r="C155" s="28">
        <v>0.03384778982507682</v>
      </c>
      <c r="D155" s="28">
        <v>-0.003932765880794137</v>
      </c>
      <c r="E155" s="28">
        <v>-0.003385272044686605</v>
      </c>
      <c r="F155" s="247">
        <v>-2529.0100000000093</v>
      </c>
      <c r="G155" s="246">
        <v>-871.1500000006054</v>
      </c>
      <c r="H155" s="247">
        <v>20296.145592402696</v>
      </c>
      <c r="I155" s="247">
        <v>6666.252424923379</v>
      </c>
      <c r="J155" s="128">
        <v>225876.12399999955</v>
      </c>
    </row>
    <row r="156">
      <c r="A156" s="245">
        <v>43419.0</v>
      </c>
      <c r="B156" s="28">
        <v>-0.008933020490282089</v>
      </c>
      <c r="C156" s="28">
        <v>0.033938697049316055</v>
      </c>
      <c r="D156" s="28">
        <v>0.007504432494202702</v>
      </c>
      <c r="E156" s="28">
        <v>-0.0026900896371648605</v>
      </c>
      <c r="F156" s="247">
        <v>-1987.2777264205638</v>
      </c>
      <c r="G156" s="246">
        <v>1657.859999999404</v>
      </c>
      <c r="H156" s="247">
        <v>20183.225592402698</v>
      </c>
      <c r="I156" s="247">
        <v>6731.588231374992</v>
      </c>
      <c r="J156" s="128">
        <v>229301.46499999956</v>
      </c>
    </row>
    <row r="157">
      <c r="A157" s="245">
        <v>43418.0</v>
      </c>
      <c r="B157" s="28">
        <v>1.0E-4</v>
      </c>
      <c r="C157" s="28">
        <v>0.034</v>
      </c>
      <c r="D157" s="28">
        <v>0.0165</v>
      </c>
      <c r="E157" s="28">
        <v>-0.0021</v>
      </c>
      <c r="F157" s="247">
        <v>-1613.0170538490815</v>
      </c>
      <c r="G157" s="246">
        <v>3645.1377264199677</v>
      </c>
      <c r="H157" s="247">
        <v>20183.225592402698</v>
      </c>
      <c r="I157" s="247">
        <v>6731.588231374992</v>
      </c>
      <c r="J157" s="128">
        <v>230376.76700000005</v>
      </c>
    </row>
    <row r="158">
      <c r="A158" s="245">
        <v>43417.0</v>
      </c>
      <c r="B158" s="28">
        <v>0.007334510198563619</v>
      </c>
      <c r="C158" s="28">
        <v>0.0339995736359516</v>
      </c>
      <c r="D158" s="28">
        <v>0.023801447403648385</v>
      </c>
      <c r="E158" s="28">
        <v>-0.00832393379841178</v>
      </c>
      <c r="F158" s="247">
        <v>-6269.1146087696925</v>
      </c>
      <c r="G158" s="246">
        <v>5258.154780269049</v>
      </c>
      <c r="H158" s="247">
        <v>20183.225592402698</v>
      </c>
      <c r="I158" s="247">
        <v>6731.588231374992</v>
      </c>
      <c r="J158" s="128">
        <v>232790.03100000002</v>
      </c>
    </row>
    <row r="159">
      <c r="A159" s="245">
        <v>43416.0</v>
      </c>
      <c r="B159" s="28">
        <v>0.03568255587073833</v>
      </c>
      <c r="C159" s="28">
        <v>0.03406066900636661</v>
      </c>
      <c r="D159" s="28">
        <v>0.052179083259480036</v>
      </c>
      <c r="E159" s="28">
        <v>0.008225273929328049</v>
      </c>
      <c r="F159" s="247">
        <v>6222.646452101801</v>
      </c>
      <c r="G159" s="246">
        <v>11527.269389038742</v>
      </c>
      <c r="H159" s="247">
        <v>20183.225592402698</v>
      </c>
      <c r="I159" s="247">
        <v>6731.588231374992</v>
      </c>
      <c r="J159" s="128">
        <v>237213.53400000016</v>
      </c>
    </row>
    <row r="160">
      <c r="A160" s="245">
        <v>43413.0</v>
      </c>
      <c r="B160" s="28">
        <v>0.007470676538369711</v>
      </c>
      <c r="C160" s="28">
        <v>0.034152724868545974</v>
      </c>
      <c r="D160" s="28">
        <v>0.02401178913627017</v>
      </c>
      <c r="E160" s="28">
        <v>0.0037437825130053047</v>
      </c>
      <c r="F160" s="247">
        <v>2820.803721427445</v>
      </c>
      <c r="G160" s="246">
        <v>5304.622936936941</v>
      </c>
      <c r="H160" s="247">
        <v>20183.225592402698</v>
      </c>
      <c r="I160" s="247">
        <v>6731.588231374992</v>
      </c>
      <c r="J160" s="128">
        <v>231780.34700000013</v>
      </c>
    </row>
    <row r="161">
      <c r="A161" s="245">
        <v>43412.0</v>
      </c>
      <c r="B161" s="28">
        <v>-0.0053128266845997515</v>
      </c>
      <c r="C161" s="28">
        <v>0.03418352083326063</v>
      </c>
      <c r="D161" s="28">
        <v>0.011243201253785742</v>
      </c>
      <c r="E161" s="28">
        <v>0.004603892416718586</v>
      </c>
      <c r="F161" s="247">
        <v>3462.635831032896</v>
      </c>
      <c r="G161" s="246">
        <v>2483.819215509496</v>
      </c>
      <c r="H161" s="247">
        <v>20183.225592402698</v>
      </c>
      <c r="I161" s="247">
        <v>6731.588231374992</v>
      </c>
      <c r="J161" s="128">
        <v>227818.93900000007</v>
      </c>
    </row>
    <row r="162">
      <c r="A162" s="245">
        <v>43411.0</v>
      </c>
      <c r="B162" s="28">
        <v>-0.021001659895449852</v>
      </c>
      <c r="C162" s="28">
        <v>0.03421437238635924</v>
      </c>
      <c r="D162" s="28">
        <v>-0.004430689693582062</v>
      </c>
      <c r="E162" s="28">
        <v>0.004335322921611737</v>
      </c>
      <c r="F162" s="247">
        <v>3251.535832534395</v>
      </c>
      <c r="G162" s="246">
        <v>-978.8166155234001</v>
      </c>
      <c r="H162" s="247">
        <v>20183.225592402698</v>
      </c>
      <c r="I162" s="247">
        <v>6731.588231374992</v>
      </c>
      <c r="J162" s="128">
        <v>225222.76500000007</v>
      </c>
    </row>
    <row r="163">
      <c r="A163" s="245">
        <v>43410.0</v>
      </c>
      <c r="B163" s="28">
        <v>-0.03573495950711923</v>
      </c>
      <c r="C163" s="28">
        <v>0.03424527967848784</v>
      </c>
      <c r="D163" s="28">
        <v>-0.019149020045809827</v>
      </c>
      <c r="E163" s="28">
        <v>-4.061633908352187E-4</v>
      </c>
      <c r="F163" s="247">
        <v>-299.66378621332933</v>
      </c>
      <c r="G163" s="246">
        <v>-4230.352448057795</v>
      </c>
      <c r="H163" s="247">
        <v>20183.225592402698</v>
      </c>
      <c r="I163" s="247">
        <v>6731.588231374992</v>
      </c>
      <c r="J163" s="128">
        <v>223017.0010000001</v>
      </c>
    </row>
    <row r="164">
      <c r="A164" s="245">
        <v>43409.0</v>
      </c>
      <c r="B164" s="28">
        <v>-0.034393504353355586</v>
      </c>
      <c r="C164" s="28">
        <v>0.03427624286083729</v>
      </c>
      <c r="D164" s="28">
        <v>-0.01779256856341932</v>
      </c>
      <c r="E164" s="28">
        <v>0.0010442599754107444</v>
      </c>
      <c r="F164" s="247">
        <v>793.431437883346</v>
      </c>
      <c r="G164" s="246">
        <v>-3930.688661844466</v>
      </c>
      <c r="H164" s="247">
        <v>20183.225592402698</v>
      </c>
      <c r="I164" s="247">
        <v>6731.588231374992</v>
      </c>
      <c r="J164" s="128">
        <v>223447.38900000002</v>
      </c>
    </row>
    <row r="165">
      <c r="A165" s="245">
        <v>43406.0</v>
      </c>
      <c r="B165" s="28">
        <v>-0.04057432361885199</v>
      </c>
      <c r="C165" s="28">
        <v>0.034369469269343644</v>
      </c>
      <c r="D165" s="28">
        <v>-0.021384097802544393</v>
      </c>
      <c r="E165" s="28">
        <v>-0.005502402028140756</v>
      </c>
      <c r="F165" s="247">
        <v>-4119.571724047297</v>
      </c>
      <c r="G165" s="246">
        <v>-4724.120099727812</v>
      </c>
      <c r="H165" s="247">
        <v>20183.225592402698</v>
      </c>
      <c r="I165" s="247">
        <v>6731.588231374992</v>
      </c>
      <c r="J165" s="128">
        <v>222775.55200000008</v>
      </c>
    </row>
    <row r="166">
      <c r="A166" s="245">
        <v>43405.0</v>
      </c>
      <c r="B166" s="28">
        <v>-0.021944175151915418</v>
      </c>
      <c r="C166" s="28">
        <v>0.034400657535468275</v>
      </c>
      <c r="D166" s="28">
        <v>-0.0027365353375893913</v>
      </c>
      <c r="E166" s="28">
        <v>-0.004145113376101208</v>
      </c>
      <c r="F166" s="247">
        <v>-3146.625361613621</v>
      </c>
      <c r="G166" s="246">
        <v>-604.5483756805147</v>
      </c>
      <c r="H166" s="247">
        <v>19387.470899264576</v>
      </c>
      <c r="I166" s="247">
        <v>6675.401205267746</v>
      </c>
      <c r="J166" s="128">
        <v>227084.99099999998</v>
      </c>
    </row>
    <row r="167">
      <c r="A167" s="245">
        <v>43404.0</v>
      </c>
      <c r="B167" s="28">
        <v>-0.008958552963432575</v>
      </c>
      <c r="C167" s="28">
        <v>0.036653403305982914</v>
      </c>
      <c r="D167" s="28">
        <v>0.011506909591888414</v>
      </c>
      <c r="E167" s="28">
        <v>0.00736599351239275</v>
      </c>
      <c r="F167" s="247">
        <v>5730.798936119121</v>
      </c>
      <c r="G167" s="246">
        <v>2542.0769859331062</v>
      </c>
      <c r="H167" s="247">
        <v>19387.470899264576</v>
      </c>
      <c r="I167" s="247">
        <v>6675.401205267746</v>
      </c>
      <c r="J167" s="128">
        <v>230011.69799999997</v>
      </c>
    </row>
    <row r="168">
      <c r="A168" s="245">
        <v>43403.0</v>
      </c>
      <c r="B168" s="28">
        <v>-0.03491806593970047</v>
      </c>
      <c r="C168" s="28">
        <v>0.036686724581715624</v>
      </c>
      <c r="D168" s="28">
        <v>-0.014433998418420097</v>
      </c>
      <c r="E168" s="28">
        <v>-0.0019113518232795768</v>
      </c>
      <c r="F168" s="247">
        <v>-1475.1449621581214</v>
      </c>
      <c r="G168" s="246">
        <v>-3188.7219501860145</v>
      </c>
      <c r="H168" s="247">
        <v>19387.470899264576</v>
      </c>
      <c r="I168" s="247">
        <v>6675.401205267746</v>
      </c>
      <c r="J168" s="128">
        <v>224179.90000000002</v>
      </c>
    </row>
    <row r="169">
      <c r="A169" s="245">
        <v>43402.0</v>
      </c>
      <c r="B169" s="28">
        <v>-0.028259346128010274</v>
      </c>
      <c r="C169" s="28">
        <v>0.03672010649671264</v>
      </c>
      <c r="D169" s="28">
        <v>-0.007756639782779692</v>
      </c>
      <c r="E169" s="28">
        <v>-3.5696597542224904E-4</v>
      </c>
      <c r="F169" s="247">
        <v>-269.92335786967965</v>
      </c>
      <c r="G169" s="246">
        <v>-1713.576988027893</v>
      </c>
      <c r="H169" s="247">
        <v>19387.470899264576</v>
      </c>
      <c r="I169" s="247">
        <v>6675.401205267746</v>
      </c>
      <c r="J169" s="128">
        <v>225942.93299999996</v>
      </c>
    </row>
    <row r="170">
      <c r="A170" s="245">
        <v>43399.0</v>
      </c>
      <c r="B170" s="28">
        <v>-0.027110875009051703</v>
      </c>
      <c r="C170" s="28">
        <v>0.03682061773712334</v>
      </c>
      <c r="D170" s="28">
        <v>-0.006534810667087017</v>
      </c>
      <c r="E170" s="28">
        <v>-0.0026552712930717997</v>
      </c>
      <c r="F170" s="247">
        <v>-2064.140472003639</v>
      </c>
      <c r="G170" s="246">
        <v>-1443.6536301582134</v>
      </c>
      <c r="H170" s="247">
        <v>19387.470899264576</v>
      </c>
      <c r="I170" s="247">
        <v>6675.401205267746</v>
      </c>
      <c r="J170" s="128">
        <v>227118.82400000002</v>
      </c>
    </row>
    <row r="171">
      <c r="A171" s="245">
        <v>43398.0</v>
      </c>
      <c r="B171" s="28">
        <v>-0.017786173221465865</v>
      </c>
      <c r="C171" s="28">
        <v>0.0368542438720431</v>
      </c>
      <c r="D171" s="28">
        <v>0.0028086820468385134</v>
      </c>
      <c r="E171" s="28">
        <v>8.338563139547352E-4</v>
      </c>
      <c r="F171" s="247">
        <v>-2944.88926021708</v>
      </c>
      <c r="G171" s="246">
        <v>620.4868418454255</v>
      </c>
      <c r="H171" s="247">
        <v>19387.470899264576</v>
      </c>
      <c r="I171" s="247">
        <v>6675.401205267746</v>
      </c>
      <c r="J171" s="128">
        <v>228265.0419999999</v>
      </c>
    </row>
    <row r="172">
      <c r="A172" s="245">
        <v>43397.0</v>
      </c>
      <c r="B172" s="28">
        <v>-0.020748978689523936</v>
      </c>
      <c r="C172" s="28">
        <v>0.03688793148070127</v>
      </c>
      <c r="D172" s="28">
        <v>0.016138952791177334</v>
      </c>
      <c r="E172" s="28">
        <v>0.005890907435982952</v>
      </c>
      <c r="F172" s="247">
        <v>4595.8721404225325</v>
      </c>
      <c r="G172" s="246">
        <v>3565.376102062505</v>
      </c>
      <c r="H172" s="247">
        <v>19387.470899264576</v>
      </c>
      <c r="I172" s="247">
        <v>6675.401205267746</v>
      </c>
      <c r="J172" s="128">
        <v>221711.34800000011</v>
      </c>
    </row>
    <row r="173">
      <c r="A173" s="245">
        <v>43396.0</v>
      </c>
      <c r="B173" s="28">
        <v>-0.041586301360480415</v>
      </c>
      <c r="C173" s="28">
        <v>0.03692168073182726</v>
      </c>
      <c r="D173" s="28">
        <v>-0.004664620628653159</v>
      </c>
      <c r="E173" s="28">
        <v>-0.0017812068445724998</v>
      </c>
      <c r="F173" s="247">
        <v>-1382.7518005134789</v>
      </c>
      <c r="G173" s="246">
        <v>-1030.4960383600276</v>
      </c>
      <c r="H173" s="247">
        <v>19387.470899264576</v>
      </c>
      <c r="I173" s="247">
        <v>6675.401205267746</v>
      </c>
      <c r="J173" s="128">
        <v>217008.95400000003</v>
      </c>
    </row>
    <row r="174">
      <c r="A174" s="245">
        <v>43395.0</v>
      </c>
      <c r="B174" s="28">
        <v>-0.0353609786345647</v>
      </c>
      <c r="C174" s="28">
        <v>0.03695549179476849</v>
      </c>
      <c r="D174" s="28">
        <v>0.0015945131602037865</v>
      </c>
      <c r="E174" s="28">
        <v>-7.920103926519372E-4</v>
      </c>
      <c r="F174" s="247">
        <v>-619.0233774435162</v>
      </c>
      <c r="G174" s="246">
        <v>352.2557621534514</v>
      </c>
      <c r="H174" s="247">
        <v>19387.470899264576</v>
      </c>
      <c r="I174" s="247">
        <v>6675.401205267746</v>
      </c>
      <c r="J174" s="128">
        <v>218620.924</v>
      </c>
    </row>
    <row r="175">
      <c r="A175" s="245">
        <v>43392.0</v>
      </c>
      <c r="B175" s="28">
        <v>-0.03266072683591557</v>
      </c>
      <c r="C175" s="28">
        <v>0.03705729755728851</v>
      </c>
      <c r="D175" s="28">
        <v>0.004396570721372943</v>
      </c>
      <c r="E175" s="28">
        <v>-0.0023235370972204735</v>
      </c>
      <c r="F175" s="247">
        <v>-1817.182189463174</v>
      </c>
      <c r="G175" s="246">
        <v>971.2791395969676</v>
      </c>
      <c r="H175" s="247">
        <v>19387.470899264576</v>
      </c>
      <c r="I175" s="247">
        <v>6675.401205267746</v>
      </c>
      <c r="J175" s="128">
        <v>219835.4900000001</v>
      </c>
    </row>
    <row r="176">
      <c r="A176" s="245">
        <v>43391.0</v>
      </c>
      <c r="B176" s="28">
        <v>-0.024469170050574515</v>
      </c>
      <c r="C176" s="28">
        <v>0.03709135757342572</v>
      </c>
      <c r="D176" s="28">
        <v>0.012622187522851207</v>
      </c>
      <c r="E176" s="28">
        <v>-6.574393612228628E-4</v>
      </c>
      <c r="F176" s="247">
        <v>-518.1523293737537</v>
      </c>
      <c r="G176" s="246">
        <v>2788.4613290601415</v>
      </c>
      <c r="H176" s="247">
        <v>19387.470899264576</v>
      </c>
      <c r="I176" s="247">
        <v>6675.401205267746</v>
      </c>
      <c r="J176" s="128">
        <v>219858.02300000004</v>
      </c>
    </row>
    <row r="177">
      <c r="A177" s="245">
        <v>43390.0</v>
      </c>
      <c r="B177" s="28">
        <v>-0.022157835833870695</v>
      </c>
      <c r="C177" s="28">
        <v>0.03712548025748591</v>
      </c>
      <c r="D177" s="28">
        <v>0.014967644423615215</v>
      </c>
      <c r="E177" s="28">
        <v>0.0062148691761467105</v>
      </c>
      <c r="F177" s="247">
        <v>4878.536625793962</v>
      </c>
      <c r="G177" s="246">
        <v>3306.613658433895</v>
      </c>
      <c r="H177" s="247">
        <v>19387.470899264576</v>
      </c>
      <c r="I177" s="247">
        <v>6675.401205267746</v>
      </c>
      <c r="J177" s="128">
        <v>220182.40000000002</v>
      </c>
    </row>
    <row r="178">
      <c r="A178" s="245">
        <v>43389.0</v>
      </c>
      <c r="B178" s="28">
        <v>-0.044275097601100724</v>
      </c>
      <c r="C178" s="28">
        <v>0.03715966578258489</v>
      </c>
      <c r="D178" s="28">
        <v>-0.007115431818515837</v>
      </c>
      <c r="E178" s="28">
        <v>0.003258618822195278</v>
      </c>
      <c r="F178" s="247">
        <v>2547.4337884285533</v>
      </c>
      <c r="G178" s="246">
        <v>-1571.9229673600676</v>
      </c>
      <c r="H178" s="247">
        <v>19387.470899264576</v>
      </c>
      <c r="I178" s="247">
        <v>6675.401205267746</v>
      </c>
      <c r="J178" s="128">
        <v>216566.23700000008</v>
      </c>
    </row>
    <row r="179">
      <c r="A179" s="245">
        <v>43388.0</v>
      </c>
      <c r="B179" s="28">
        <v>-0.055840503716855366</v>
      </c>
      <c r="C179" s="28">
        <v>0.03719391432247667</v>
      </c>
      <c r="D179" s="28">
        <v>-0.018646589394378695</v>
      </c>
      <c r="E179" s="28">
        <v>-0.0013130839359521888</v>
      </c>
      <c r="F179" s="247">
        <v>-1014.0007360986083</v>
      </c>
      <c r="G179" s="246">
        <v>-4119.356755788621</v>
      </c>
      <c r="H179" s="247">
        <v>19387.470899264576</v>
      </c>
      <c r="I179" s="247">
        <v>6675.401205267746</v>
      </c>
      <c r="J179" s="128">
        <v>214627.34200000006</v>
      </c>
    </row>
    <row r="180">
      <c r="A180" s="245">
        <v>43385.0</v>
      </c>
      <c r="B180" s="28">
        <v>-0.051353675815046435</v>
      </c>
      <c r="C180" s="28">
        <v>0.03729703977808428</v>
      </c>
      <c r="D180" s="28">
        <v>-0.014056636036962153</v>
      </c>
      <c r="E180" s="28">
        <v>0.0023794262221001807</v>
      </c>
      <c r="F180" s="247">
        <v>1798.9913722827805</v>
      </c>
      <c r="G180" s="246">
        <v>-3105.3560196900125</v>
      </c>
      <c r="H180" s="247">
        <v>20604.51725922679</v>
      </c>
      <c r="I180" s="247">
        <v>7532.388698541902</v>
      </c>
      <c r="J180" s="128">
        <v>215442.41300000006</v>
      </c>
    </row>
    <row r="181">
      <c r="A181" s="245">
        <v>43384.0</v>
      </c>
      <c r="B181" s="28">
        <v>-0.05953145281433947</v>
      </c>
      <c r="C181" s="28">
        <v>0.03733154212755522</v>
      </c>
      <c r="D181" s="28">
        <v>-0.02219991068678425</v>
      </c>
      <c r="E181" s="28">
        <v>-0.006902263831340869</v>
      </c>
      <c r="F181" s="247">
        <v>-4544.819662591174</v>
      </c>
      <c r="G181" s="246">
        <v>-4904.347391972793</v>
      </c>
      <c r="H181" s="247">
        <v>20604.51725922679</v>
      </c>
      <c r="I181" s="247">
        <v>7532.388698541902</v>
      </c>
      <c r="J181" s="128">
        <v>214775.39699999982</v>
      </c>
    </row>
    <row r="182">
      <c r="A182" s="245">
        <v>43383.0</v>
      </c>
      <c r="B182" s="28">
        <v>-0.03456476534746203</v>
      </c>
      <c r="C182" s="28">
        <v>0.03293733506086406</v>
      </c>
      <c r="D182" s="28">
        <v>-0.0016274302865979667</v>
      </c>
      <c r="E182" s="28">
        <v>-0.009859611077770702</v>
      </c>
      <c r="F182" s="247">
        <v>-7971.564515127549</v>
      </c>
      <c r="G182" s="246">
        <v>-359.5277293816187</v>
      </c>
      <c r="H182" s="247">
        <v>20604.51725922679</v>
      </c>
      <c r="I182" s="247">
        <v>7532.388698541902</v>
      </c>
      <c r="J182" s="128">
        <v>218739.2539999999</v>
      </c>
    </row>
    <row r="183">
      <c r="A183" s="245">
        <v>43382.0</v>
      </c>
      <c r="B183" s="28">
        <v>0.0014886168916975616</v>
      </c>
      <c r="C183" s="28">
        <v>0.03296786085795476</v>
      </c>
      <c r="D183" s="28">
        <v>0.03445647774965232</v>
      </c>
      <c r="E183" s="28">
        <v>0.0048789210254975585</v>
      </c>
      <c r="F183" s="247">
        <v>3980.3294436278793</v>
      </c>
      <c r="G183" s="246">
        <v>7612.0367857459305</v>
      </c>
      <c r="H183" s="247">
        <v>20604.51725922679</v>
      </c>
      <c r="I183" s="247">
        <v>7532.388698541902</v>
      </c>
      <c r="J183" s="128">
        <v>225300.88000000018</v>
      </c>
    </row>
    <row r="184">
      <c r="A184" s="245">
        <v>43381.0</v>
      </c>
      <c r="B184" s="28">
        <v>-0.016559236970407953</v>
      </c>
      <c r="C184" s="28">
        <v>0.03299844328917735</v>
      </c>
      <c r="D184" s="28">
        <v>0.016439206318769398</v>
      </c>
      <c r="E184" s="28">
        <v>-0.001338316915560452</v>
      </c>
      <c r="F184" s="247">
        <v>-1101.5992876103755</v>
      </c>
      <c r="G184" s="246">
        <v>3631.707342118051</v>
      </c>
      <c r="H184" s="247">
        <v>20604.51725922679</v>
      </c>
      <c r="I184" s="247">
        <v>7532.388698541902</v>
      </c>
      <c r="J184" s="128">
        <v>222445.673</v>
      </c>
    </row>
    <row r="185">
      <c r="A185" s="245">
        <v>43378.0</v>
      </c>
      <c r="B185" s="28">
        <v>-0.011664850621585673</v>
      </c>
      <c r="C185" s="28">
        <v>0.03309053196812389</v>
      </c>
      <c r="D185" s="28">
        <v>0.02142568134653822</v>
      </c>
      <c r="E185" s="28">
        <v>-0.004823270926367549</v>
      </c>
      <c r="F185" s="247">
        <v>-3946.0769163490977</v>
      </c>
      <c r="G185" s="246">
        <v>4733.306629728427</v>
      </c>
      <c r="H185" s="247">
        <v>20689.747259226788</v>
      </c>
      <c r="I185" s="247">
        <v>7567.967085638677</v>
      </c>
      <c r="J185" s="128">
        <v>223141.84500000003</v>
      </c>
    </row>
    <row r="186">
      <c r="A186" s="245">
        <v>43377.0</v>
      </c>
      <c r="B186" s="28">
        <v>0.00616656352394139</v>
      </c>
      <c r="C186" s="28">
        <v>0.03312134251930464</v>
      </c>
      <c r="D186" s="28">
        <v>0.03928790604324603</v>
      </c>
      <c r="E186" s="28">
        <v>-0.010546313134668158</v>
      </c>
      <c r="F186" s="247">
        <v>-8528.881351170474</v>
      </c>
      <c r="G186" s="246">
        <v>8679.383546077524</v>
      </c>
      <c r="H186" s="247">
        <v>20103.275153161077</v>
      </c>
      <c r="I186" s="247">
        <v>7126.072656285893</v>
      </c>
      <c r="J186" s="128">
        <v>225714.48099999997</v>
      </c>
    </row>
    <row r="187">
      <c r="A187" s="245">
        <v>43376.0</v>
      </c>
      <c r="B187" s="28">
        <v>0.044742341672672485</v>
      </c>
      <c r="C187" s="28">
        <v>0.03315221049928535</v>
      </c>
      <c r="D187" s="28">
        <v>0.07789455217195784</v>
      </c>
      <c r="E187" s="28">
        <v>-0.0012260901864757953</v>
      </c>
      <c r="F187" s="247">
        <v>-471.8801288761424</v>
      </c>
      <c r="G187" s="246">
        <v>17208.264897248</v>
      </c>
      <c r="H187" s="247">
        <v>20103.275153161077</v>
      </c>
      <c r="I187" s="247">
        <v>7126.072656285893</v>
      </c>
      <c r="J187" s="128">
        <v>235182.9080000001</v>
      </c>
    </row>
    <row r="188">
      <c r="A188" s="245">
        <v>43375.0</v>
      </c>
      <c r="B188" s="28">
        <v>0.046847418282195595</v>
      </c>
      <c r="C188" s="28">
        <v>0.033183136068780955</v>
      </c>
      <c r="D188" s="28">
        <v>0.08003055435097656</v>
      </c>
      <c r="E188" s="28">
        <v>0.003678256204768782</v>
      </c>
      <c r="F188" s="247">
        <v>3026.738314251834</v>
      </c>
      <c r="G188" s="246">
        <v>17680.14502612414</v>
      </c>
      <c r="H188" s="247">
        <v>20103.275153161077</v>
      </c>
      <c r="I188" s="247">
        <v>7126.072656285893</v>
      </c>
      <c r="J188" s="128">
        <v>234064.73800000007</v>
      </c>
    </row>
    <row r="189">
      <c r="A189" s="245">
        <v>43374.0</v>
      </c>
      <c r="B189" s="28">
        <v>0.03311566809559177</v>
      </c>
      <c r="C189" s="28">
        <v>0.03321411938910661</v>
      </c>
      <c r="D189" s="28">
        <v>0.06632978748469838</v>
      </c>
      <c r="E189" s="28">
        <v>0.004293895938643127</v>
      </c>
      <c r="F189" s="247">
        <v>2693.8506155570867</v>
      </c>
      <c r="G189" s="246">
        <v>14653.406711872307</v>
      </c>
      <c r="H189" s="247">
        <v>20103.275153161077</v>
      </c>
      <c r="I189" s="247">
        <v>7126.072656285893</v>
      </c>
      <c r="J189" s="128">
        <v>232129.70899999986</v>
      </c>
    </row>
    <row r="190">
      <c r="A190" s="245">
        <v>43371.0</v>
      </c>
      <c r="B190" s="28">
        <v>0.018394356286372173</v>
      </c>
      <c r="C190" s="28">
        <v>0.03574150644356897</v>
      </c>
      <c r="D190" s="28">
        <v>0.05413586272994114</v>
      </c>
      <c r="E190" s="28">
        <v>0.005742297918190961</v>
      </c>
      <c r="F190" s="247">
        <v>5065.345523592406</v>
      </c>
      <c r="G190" s="246">
        <v>11959.55609631522</v>
      </c>
      <c r="H190" s="247">
        <v>20103.275153161077</v>
      </c>
      <c r="I190" s="247">
        <v>7126.072656285893</v>
      </c>
      <c r="J190" s="128">
        <v>229425.43199999986</v>
      </c>
    </row>
    <row r="191">
      <c r="A191" s="245">
        <v>43370.0</v>
      </c>
      <c r="B191" s="28">
        <v>-0.004567822184887074</v>
      </c>
      <c r="C191" s="28">
        <v>0.03577500363798656</v>
      </c>
      <c r="D191" s="28">
        <v>0.031207181453099486</v>
      </c>
      <c r="E191" s="28">
        <v>0.00924368039491624</v>
      </c>
      <c r="F191" s="247">
        <v>4062.3354921025843</v>
      </c>
      <c r="G191" s="246">
        <v>6894.2105727228145</v>
      </c>
      <c r="H191" s="247">
        <v>20103.275153161077</v>
      </c>
      <c r="I191" s="247">
        <v>7126.072656285893</v>
      </c>
      <c r="J191" s="128">
        <v>224296.18699999998</v>
      </c>
    </row>
    <row r="192">
      <c r="A192" s="245">
        <v>43369.0</v>
      </c>
      <c r="B192" s="241">
        <v>-0.022989891937988775</v>
      </c>
      <c r="C192" s="241">
        <v>0.03580859519069829</v>
      </c>
      <c r="D192" s="241">
        <v>0.012818703252709514</v>
      </c>
      <c r="E192" s="241">
        <v>0.00924368039491624</v>
      </c>
      <c r="F192" s="247">
        <v>4062.335492102585</v>
      </c>
      <c r="G192" s="246">
        <v>2831.87508062023</v>
      </c>
      <c r="H192" s="247">
        <v>20196.985153161077</v>
      </c>
      <c r="I192" s="247">
        <v>7125.752064888044</v>
      </c>
      <c r="J192" s="128">
        <v>219456.92699999985</v>
      </c>
    </row>
    <row r="193">
      <c r="A193" s="245">
        <v>43368.0</v>
      </c>
      <c r="B193" s="28">
        <v>-0.041411961691090474</v>
      </c>
      <c r="C193" s="28">
        <v>0.03584218674341001</v>
      </c>
      <c r="D193" s="28">
        <v>-0.0055697749476804614</v>
      </c>
      <c r="E193" s="28">
        <v>-0.0014871367301187094</v>
      </c>
      <c r="F193" s="247">
        <v>-1305.1714495637116</v>
      </c>
      <c r="G193" s="246">
        <v>-1230.4604114823546</v>
      </c>
      <c r="H193" s="247">
        <v>20196.985153161077</v>
      </c>
      <c r="I193" s="247">
        <v>7125.752064888044</v>
      </c>
      <c r="J193" s="128">
        <v>218061.09800000011</v>
      </c>
    </row>
    <row r="194">
      <c r="A194" s="245">
        <v>43367.0</v>
      </c>
      <c r="B194" s="28">
        <v>-0.03553768767271647</v>
      </c>
      <c r="C194" s="28">
        <v>0.0358758730091463</v>
      </c>
      <c r="D194" s="28">
        <v>3.3818533642982623E-4</v>
      </c>
      <c r="E194" s="28">
        <v>-0.0012547202531743992</v>
      </c>
      <c r="F194" s="247">
        <v>-1114.9297788109961</v>
      </c>
      <c r="G194" s="246">
        <v>74.71103808135689</v>
      </c>
      <c r="H194" s="247">
        <v>20175.74515316108</v>
      </c>
      <c r="I194" s="247">
        <v>7039.931204672988</v>
      </c>
      <c r="J194" s="128">
        <v>218149.7279999999</v>
      </c>
    </row>
    <row r="195">
      <c r="A195" s="245">
        <v>43364.0</v>
      </c>
      <c r="B195" s="28">
        <v>-0.03059231092935696</v>
      </c>
      <c r="C195" s="28">
        <v>0.0359773128008781</v>
      </c>
      <c r="D195" s="28">
        <v>0.005385001871521137</v>
      </c>
      <c r="E195" s="28">
        <v>6.424146623034563E-4</v>
      </c>
      <c r="F195" s="247">
        <v>567.9695879530783</v>
      </c>
      <c r="G195" s="246">
        <v>1189.640816892353</v>
      </c>
      <c r="H195" s="247">
        <v>20175.74515316108</v>
      </c>
      <c r="I195" s="247">
        <v>7039.931204672988</v>
      </c>
      <c r="J195" s="128">
        <v>221074.28900000005</v>
      </c>
    </row>
    <row r="196">
      <c r="A196" s="245">
        <v>43363.0</v>
      </c>
      <c r="B196" s="28">
        <v>-0.033197210394687766</v>
      </c>
      <c r="C196" s="28">
        <v>0.036011253662011</v>
      </c>
      <c r="D196" s="28">
        <v>0.002814043267323235</v>
      </c>
      <c r="E196" s="28">
        <v>-0.0031830947441572476</v>
      </c>
      <c r="F196" s="247">
        <v>-2833.323054303443</v>
      </c>
      <c r="G196" s="246">
        <v>621.6712289392748</v>
      </c>
      <c r="H196" s="247">
        <v>20007.204049794236</v>
      </c>
      <c r="I196" s="247">
        <v>6858.104245781535</v>
      </c>
      <c r="J196" s="128">
        <v>220526.65700000006</v>
      </c>
    </row>
    <row r="197">
      <c r="A197" s="245">
        <v>43362.0</v>
      </c>
      <c r="B197" s="28">
        <v>-0.020405957737219402</v>
      </c>
      <c r="C197" s="28">
        <v>0.03604525862297607</v>
      </c>
      <c r="D197" s="28">
        <v>0.015639300885756668</v>
      </c>
      <c r="E197" s="28">
        <v>-0.0024484107236738173</v>
      </c>
      <c r="F197" s="247">
        <v>-2204.471981023731</v>
      </c>
      <c r="G197" s="246">
        <v>3454.9942832427178</v>
      </c>
      <c r="H197" s="247">
        <v>20007.204049794236</v>
      </c>
      <c r="I197" s="247">
        <v>6858.104245781535</v>
      </c>
      <c r="J197" s="128">
        <v>221858.99800000008</v>
      </c>
    </row>
    <row r="198">
      <c r="A198" s="245">
        <v>43361.0</v>
      </c>
      <c r="B198" s="28">
        <v>-0.01046131275362734</v>
      </c>
      <c r="C198" s="28">
        <v>0.03607932786553087</v>
      </c>
      <c r="D198" s="28">
        <v>0.02561801511190353</v>
      </c>
      <c r="E198" s="28">
        <v>-0.0029415907769446614</v>
      </c>
      <c r="F198" s="247">
        <v>-2629.0714275604687</v>
      </c>
      <c r="G198" s="246">
        <v>5659.466264266449</v>
      </c>
      <c r="H198" s="247">
        <v>19939.21455988127</v>
      </c>
      <c r="I198" s="247">
        <v>6821.416627526332</v>
      </c>
      <c r="J198" s="128">
        <v>223179.957</v>
      </c>
    </row>
    <row r="199">
      <c r="A199" s="245">
        <v>43360.0</v>
      </c>
      <c r="B199" s="28">
        <v>0.0014052502515507993</v>
      </c>
      <c r="C199" s="28">
        <v>0.036113461572120774</v>
      </c>
      <c r="D199" s="28">
        <v>0.03751871182367157</v>
      </c>
      <c r="E199" s="28">
        <v>-0.002605239901936235</v>
      </c>
      <c r="F199" s="247">
        <v>-2360.808687903973</v>
      </c>
      <c r="G199" s="246">
        <v>8288.537691826918</v>
      </c>
      <c r="H199" s="247">
        <v>19939.21455988127</v>
      </c>
      <c r="I199" s="247">
        <v>6821.416627526332</v>
      </c>
      <c r="J199" s="128">
        <v>225822.94599999994</v>
      </c>
    </row>
    <row r="200">
      <c r="A200" s="245">
        <v>43357.0</v>
      </c>
      <c r="B200" s="28">
        <v>0.01198884502656722</v>
      </c>
      <c r="C200" s="28">
        <v>0.036216251310940854</v>
      </c>
      <c r="D200" s="28">
        <v>0.04820509633750807</v>
      </c>
      <c r="E200" s="28">
        <v>-8.770459398840324E-4</v>
      </c>
      <c r="F200" s="247">
        <v>-799.7204511487707</v>
      </c>
      <c r="G200" s="246">
        <v>10649.34637973089</v>
      </c>
      <c r="H200" s="247">
        <v>19939.21455988127</v>
      </c>
      <c r="I200" s="247">
        <v>6821.416627526332</v>
      </c>
      <c r="J200" s="128">
        <v>227447.71399999986</v>
      </c>
    </row>
    <row r="201">
      <c r="A201" s="245">
        <v>43356.0</v>
      </c>
      <c r="B201" s="28">
        <v>0.01557444857331324</v>
      </c>
      <c r="C201" s="28">
        <v>0.03625064471199588</v>
      </c>
      <c r="D201" s="28">
        <v>0.05182509328530912</v>
      </c>
      <c r="E201" s="28">
        <v>-0.002298614356148906</v>
      </c>
      <c r="F201" s="247">
        <v>-2084.130249669259</v>
      </c>
      <c r="G201" s="246">
        <v>11449.066830879661</v>
      </c>
      <c r="H201" s="247">
        <v>19939.21455988127</v>
      </c>
      <c r="I201" s="247">
        <v>6821.416627526332</v>
      </c>
      <c r="J201" s="128">
        <v>228570.3499999998</v>
      </c>
    </row>
    <row r="202">
      <c r="A202" s="245">
        <v>43355.0</v>
      </c>
      <c r="B202" s="28">
        <v>0.024973967785983042</v>
      </c>
      <c r="C202" s="28">
        <v>0.036285103499744925</v>
      </c>
      <c r="D202" s="28">
        <v>0.06125907128572797</v>
      </c>
      <c r="E202" s="28">
        <v>-0.0013279996367479862</v>
      </c>
      <c r="F202" s="247">
        <v>-1214.552733057435</v>
      </c>
      <c r="G202" s="246">
        <v>13533.19708054892</v>
      </c>
      <c r="H202" s="247">
        <v>19939.21455988127</v>
      </c>
      <c r="I202" s="247">
        <v>6821.416627526332</v>
      </c>
      <c r="J202" s="128">
        <v>229841.55199999985</v>
      </c>
    </row>
    <row r="203">
      <c r="A203" s="245">
        <v>43354.0</v>
      </c>
      <c r="B203" s="28">
        <v>0.03043721102643443</v>
      </c>
      <c r="C203" s="28">
        <v>0.036319627860829366</v>
      </c>
      <c r="D203" s="28">
        <v>0.0667568388872638</v>
      </c>
      <c r="E203" s="28">
        <v>-6.264254085323545E-4</v>
      </c>
      <c r="F203" s="247">
        <v>-486.7353784344177</v>
      </c>
      <c r="G203" s="246">
        <v>14747.749813606355</v>
      </c>
      <c r="H203" s="247">
        <v>19939.21455988127</v>
      </c>
      <c r="I203" s="247">
        <v>6821.416627526332</v>
      </c>
      <c r="J203" s="128">
        <v>231462.55199999985</v>
      </c>
    </row>
    <row r="204">
      <c r="A204" s="245">
        <v>43353.0</v>
      </c>
      <c r="B204" s="28">
        <v>0.03303789259607759</v>
      </c>
      <c r="C204" s="28">
        <v>0.03592219191506436</v>
      </c>
      <c r="D204" s="28">
        <v>0.06896008451114194</v>
      </c>
      <c r="E204" s="28">
        <v>-0.0012774103801707138</v>
      </c>
      <c r="F204" s="247">
        <v>-1206.2412974921335</v>
      </c>
      <c r="G204" s="246">
        <v>15234.485192040773</v>
      </c>
      <c r="H204" s="247">
        <v>19939.21455988127</v>
      </c>
      <c r="I204" s="247">
        <v>6821.416627526332</v>
      </c>
      <c r="J204" s="128">
        <v>231931.3079999999</v>
      </c>
    </row>
    <row r="205">
      <c r="A205" s="245">
        <v>43350.0</v>
      </c>
      <c r="B205" s="28">
        <v>0.038395108920118846</v>
      </c>
      <c r="C205" s="28">
        <v>0.03602512083172643</v>
      </c>
      <c r="D205" s="28">
        <v>0.07442022975184528</v>
      </c>
      <c r="E205" s="28">
        <v>5.392939654665401E-4</v>
      </c>
      <c r="F205" s="247">
        <v>476.18706924316393</v>
      </c>
      <c r="G205" s="246">
        <v>16440.726489532906</v>
      </c>
      <c r="H205" s="247">
        <v>19939.21455988127</v>
      </c>
      <c r="I205" s="247">
        <v>6821.416627526332</v>
      </c>
      <c r="J205" s="128">
        <v>232884.63799999998</v>
      </c>
    </row>
    <row r="206">
      <c r="A206" s="245">
        <v>43349.0</v>
      </c>
      <c r="B206" s="28">
        <v>0.036205170197774986</v>
      </c>
      <c r="C206" s="28">
        <v>0.036059561673821766</v>
      </c>
      <c r="D206" s="28">
        <v>0.07226473187159675</v>
      </c>
      <c r="E206" s="28">
        <v>0.0018539586834947904</v>
      </c>
      <c r="F206" s="247">
        <v>1666.7362568207645</v>
      </c>
      <c r="G206" s="246">
        <v>15964.539420289742</v>
      </c>
      <c r="H206" s="247">
        <v>19916.83048633697</v>
      </c>
      <c r="I206" s="247">
        <v>6819.065751843002</v>
      </c>
      <c r="J206" s="128">
        <v>232660.66399999993</v>
      </c>
    </row>
    <row r="207">
      <c r="A207" s="245">
        <v>43348.0</v>
      </c>
      <c r="B207" s="28">
        <v>0.028626051877722686</v>
      </c>
      <c r="C207" s="28">
        <v>0.03609406843140437</v>
      </c>
      <c r="D207" s="28">
        <v>0.06472012030912705</v>
      </c>
      <c r="E207" s="28">
        <v>-0.007022435945771128</v>
      </c>
      <c r="F207" s="247">
        <v>-5703.491552132289</v>
      </c>
      <c r="G207" s="246">
        <v>14297.803163468978</v>
      </c>
      <c r="H207" s="247">
        <v>19916.83048633697</v>
      </c>
      <c r="I207" s="247">
        <v>6819.065751843002</v>
      </c>
      <c r="J207" s="128">
        <v>232524.04399999965</v>
      </c>
    </row>
    <row r="208">
      <c r="A208" s="245">
        <v>43347.0</v>
      </c>
      <c r="B208" s="28">
        <v>0.05440877802374997</v>
      </c>
      <c r="C208" s="28">
        <v>0.036128641293886564</v>
      </c>
      <c r="D208" s="28">
        <v>0.09053741931763654</v>
      </c>
      <c r="E208" s="28">
        <v>-0.0018697871013772587</v>
      </c>
      <c r="F208" s="247">
        <v>-1734.5222354209945</v>
      </c>
      <c r="G208" s="246">
        <v>20001.294715601267</v>
      </c>
      <c r="H208" s="247">
        <v>19916.83048633697</v>
      </c>
      <c r="I208" s="247">
        <v>6819.065751843002</v>
      </c>
      <c r="J208" s="128">
        <v>237018.66599999974</v>
      </c>
    </row>
    <row r="209">
      <c r="A209" s="245">
        <v>43346.0</v>
      </c>
      <c r="B209" s="28">
        <v>0.06222558894368782</v>
      </c>
      <c r="C209" s="28">
        <v>0.036163280451407064</v>
      </c>
      <c r="D209" s="28">
        <v>0.09838886939509489</v>
      </c>
      <c r="E209" s="28">
        <v>-0.0017270819217674056</v>
      </c>
      <c r="F209" s="247">
        <v>-3732.4005460908265</v>
      </c>
      <c r="G209" s="246">
        <v>21735.81695102226</v>
      </c>
      <c r="H209" s="247">
        <v>19916.83048633697</v>
      </c>
      <c r="I209" s="247">
        <v>6819.065751843002</v>
      </c>
      <c r="J209" s="128">
        <v>237280.13999999978</v>
      </c>
    </row>
    <row r="210">
      <c r="A210" s="245">
        <v>43343.0</v>
      </c>
      <c r="B210" s="28">
        <v>0.07577851635817813</v>
      </c>
      <c r="C210" s="28">
        <v>0.03950535499092612</v>
      </c>
      <c r="D210" s="28">
        <v>0.11528387134910426</v>
      </c>
      <c r="E210" s="28">
        <v>0.00444317487159717</v>
      </c>
      <c r="F210" s="247">
        <v>4441.626174806483</v>
      </c>
      <c r="G210" s="246">
        <v>25468.217497113088</v>
      </c>
      <c r="H210" s="247">
        <v>19916.83048633697</v>
      </c>
      <c r="I210" s="247">
        <v>6819.065751843002</v>
      </c>
      <c r="J210" s="128">
        <v>240234.7119999997</v>
      </c>
    </row>
    <row r="211">
      <c r="A211" s="245">
        <v>43342.0</v>
      </c>
      <c r="B211" s="28">
        <v>0.05563512684442858</v>
      </c>
      <c r="C211" s="28">
        <v>0.039543377469261946</v>
      </c>
      <c r="D211" s="28">
        <v>0.09517850431369053</v>
      </c>
      <c r="E211" s="28">
        <v>0.005256470062374909</v>
      </c>
      <c r="F211" s="247">
        <v>5222.66244556693</v>
      </c>
      <c r="G211" s="246">
        <v>21026.591322306605</v>
      </c>
      <c r="H211" s="247">
        <v>19784.590486336972</v>
      </c>
      <c r="I211" s="247">
        <v>6753.027902380636</v>
      </c>
      <c r="J211" s="128">
        <v>236353.30799999973</v>
      </c>
    </row>
    <row r="212">
      <c r="A212" s="245">
        <v>43341.0</v>
      </c>
      <c r="B212" s="28">
        <v>0.03195624252050753</v>
      </c>
      <c r="C212" s="28">
        <v>0.039581473208635025</v>
      </c>
      <c r="D212" s="28">
        <v>0.07153771572914255</v>
      </c>
      <c r="E212" s="28">
        <v>3.4260761994863337E-4</v>
      </c>
      <c r="F212" s="247">
        <v>267.33199133426024</v>
      </c>
      <c r="G212" s="246">
        <v>15803.928876739676</v>
      </c>
      <c r="H212" s="247">
        <v>19582.841208150618</v>
      </c>
      <c r="I212" s="247">
        <v>6731.60725960506</v>
      </c>
      <c r="J212" s="128">
        <v>232204.29999999993</v>
      </c>
    </row>
    <row r="213">
      <c r="A213" s="245">
        <v>43340.0</v>
      </c>
      <c r="B213" s="28">
        <v>0.030707974215042216</v>
      </c>
      <c r="C213" s="28">
        <v>0.03961964242098665</v>
      </c>
      <c r="D213" s="28">
        <v>0.07032761663602886</v>
      </c>
      <c r="E213" s="28">
        <v>-0.006400030545955846</v>
      </c>
      <c r="F213" s="247">
        <v>-8243.413114594583</v>
      </c>
      <c r="G213" s="246">
        <v>15536.596885405415</v>
      </c>
      <c r="H213" s="247">
        <v>19536.040729370507</v>
      </c>
      <c r="I213" s="247">
        <v>6753.611275859337</v>
      </c>
      <c r="J213" s="128">
        <v>231276.75200000004</v>
      </c>
    </row>
    <row r="214">
      <c r="A214" s="245">
        <v>43339.0</v>
      </c>
      <c r="B214" s="28">
        <v>0.068</v>
      </c>
      <c r="C214" s="28">
        <v>0.0397</v>
      </c>
      <c r="D214" s="28">
        <v>0.1076</v>
      </c>
      <c r="E214" s="28">
        <v>-0.0022</v>
      </c>
      <c r="F214" s="247">
        <v>-0.0018619169859448448</v>
      </c>
      <c r="G214" s="246">
        <v>23780.01</v>
      </c>
      <c r="H214" s="246">
        <v>19238.83</v>
      </c>
      <c r="I214" s="246">
        <v>6869.15</v>
      </c>
      <c r="J214" s="128">
        <v>235485.9859999998</v>
      </c>
    </row>
    <row r="215">
      <c r="A215" s="245">
        <v>43336.0</v>
      </c>
      <c r="B215" s="28">
        <v>0.067984191653141</v>
      </c>
      <c r="C215" s="28">
        <v>0.03965788531907641</v>
      </c>
      <c r="D215" s="28">
        <v>0.107642076972217</v>
      </c>
      <c r="E215" s="28">
        <v>-0.002240447656546123</v>
      </c>
      <c r="F215" s="247">
        <v>-311.4749841918165</v>
      </c>
      <c r="G215" s="246">
        <v>23780.011861916984</v>
      </c>
      <c r="H215" s="247">
        <v>19238.832729370508</v>
      </c>
      <c r="I215" s="247">
        <v>6869.14585292027</v>
      </c>
      <c r="J215" s="128">
        <v>238468.49599999993</v>
      </c>
    </row>
    <row r="216">
      <c r="A216" s="245">
        <v>43335.0</v>
      </c>
      <c r="B216" s="28">
        <v>0.06927893449502678</v>
      </c>
      <c r="C216" s="28">
        <v>0.03977305826772813</v>
      </c>
      <c r="D216" s="28">
        <v>0.10905199276275492</v>
      </c>
      <c r="E216" s="28">
        <v>-0.0021275216460599606</v>
      </c>
      <c r="F216" s="247">
        <v>-2085.880252181283</v>
      </c>
      <c r="G216" s="246">
        <v>24091.4868461088</v>
      </c>
      <c r="H216" s="247">
        <v>19238.832729370508</v>
      </c>
      <c r="I216" s="247">
        <v>6869.14585292027</v>
      </c>
      <c r="J216" s="128">
        <v>238746.22200000007</v>
      </c>
    </row>
    <row r="217">
      <c r="A217" s="245">
        <v>43334.0</v>
      </c>
      <c r="B217" s="28">
        <v>0.07868229423305845</v>
      </c>
      <c r="C217" s="28">
        <v>0.03981159805287127</v>
      </c>
      <c r="D217" s="28">
        <v>0.11849389228592971</v>
      </c>
      <c r="E217" s="28">
        <v>0.0032385474691262435</v>
      </c>
      <c r="F217" s="247">
        <v>3123.962496787917</v>
      </c>
      <c r="G217" s="246">
        <v>26177.367098290084</v>
      </c>
      <c r="H217" s="247">
        <v>19238.832729370508</v>
      </c>
      <c r="I217" s="247">
        <v>6869.14585292027</v>
      </c>
      <c r="J217" s="128">
        <v>237761.79000000015</v>
      </c>
    </row>
    <row r="218">
      <c r="A218" s="245">
        <v>43333.0</v>
      </c>
      <c r="B218" s="28">
        <v>0.06450281998033634</v>
      </c>
      <c r="C218" s="28">
        <v>0.03985021259996426</v>
      </c>
      <c r="D218" s="28">
        <v>0.1043530325803006</v>
      </c>
      <c r="E218" s="28">
        <v>-0.003173666530684312</v>
      </c>
      <c r="F218" s="247">
        <v>-3101.6282718442344</v>
      </c>
      <c r="G218" s="246">
        <v>23053.404601502167</v>
      </c>
      <c r="H218" s="247">
        <v>19238.832729370508</v>
      </c>
      <c r="I218" s="247">
        <v>6869.14585292027</v>
      </c>
      <c r="J218" s="128">
        <v>240901.05200000003</v>
      </c>
    </row>
    <row r="219">
      <c r="A219" s="245">
        <v>43332.0</v>
      </c>
      <c r="B219" s="28">
        <v>0.07850389254935898</v>
      </c>
      <c r="C219" s="28">
        <v>0.03988890212676034</v>
      </c>
      <c r="D219" s="28">
        <v>0.11839279467611932</v>
      </c>
      <c r="E219" s="28">
        <v>-0.006179198734281191</v>
      </c>
      <c r="F219" s="247">
        <v>-6139.807878311822</v>
      </c>
      <c r="G219" s="246">
        <v>26155.0328733464</v>
      </c>
      <c r="H219" s="247">
        <v>19238.832729370508</v>
      </c>
      <c r="I219" s="247">
        <v>6869.14585292027</v>
      </c>
      <c r="J219" s="128">
        <v>246596.57000000007</v>
      </c>
    </row>
    <row r="220">
      <c r="A220" s="245">
        <v>43329.0</v>
      </c>
      <c r="B220" s="28">
        <v>0.10614069912334669</v>
      </c>
      <c r="C220" s="28">
        <v>0.040044414415753564</v>
      </c>
      <c r="D220" s="28">
        <v>0.14618511353910024</v>
      </c>
      <c r="E220" s="28">
        <v>-5.012328035095623E-4</v>
      </c>
      <c r="F220" s="247">
        <v>-524.770169630785</v>
      </c>
      <c r="G220" s="246">
        <v>32294.840751658223</v>
      </c>
      <c r="H220" s="247">
        <v>19238.832729370508</v>
      </c>
      <c r="I220" s="247">
        <v>6869.14585292027</v>
      </c>
      <c r="J220" s="128">
        <v>244729.06200000015</v>
      </c>
    </row>
    <row r="221">
      <c r="A221" s="245">
        <v>43328.0</v>
      </c>
      <c r="B221" s="28">
        <v>0.10847704447240984</v>
      </c>
      <c r="C221" s="28">
        <v>0.040083482137134786</v>
      </c>
      <c r="D221" s="28">
        <v>0.14856052660954464</v>
      </c>
      <c r="E221" s="28">
        <v>-0.002273905293610541</v>
      </c>
      <c r="F221" s="247">
        <v>-2273.1548850170875</v>
      </c>
      <c r="G221" s="246">
        <v>32819.61092128901</v>
      </c>
      <c r="H221" s="247">
        <v>19238.832729370508</v>
      </c>
      <c r="I221" s="247">
        <v>6869.14585292027</v>
      </c>
      <c r="J221" s="128">
        <v>244235.598</v>
      </c>
    </row>
    <row r="222">
      <c r="A222" s="245">
        <v>43327.0</v>
      </c>
      <c r="B222" s="28">
        <v>0.11872751319071409</v>
      </c>
      <c r="C222" s="28">
        <v>0.04012262616265933</v>
      </c>
      <c r="D222" s="28">
        <v>0.15885013935337342</v>
      </c>
      <c r="E222" s="28">
        <v>-2.0353365648355541E-4</v>
      </c>
      <c r="F222" s="247">
        <v>-235.5570376672913</v>
      </c>
      <c r="G222" s="246">
        <v>35092.765806306095</v>
      </c>
      <c r="H222" s="247">
        <v>19238.832729370508</v>
      </c>
      <c r="I222" s="247">
        <v>6869.14585292027</v>
      </c>
      <c r="J222" s="128">
        <v>246701.27000000014</v>
      </c>
    </row>
    <row r="223">
      <c r="A223" s="245">
        <v>43326.0</v>
      </c>
      <c r="B223" s="28">
        <v>0.11975455992626087</v>
      </c>
      <c r="C223" s="28">
        <v>0.04016184671609302</v>
      </c>
      <c r="D223" s="28">
        <v>0.1599164066423539</v>
      </c>
      <c r="E223" s="28">
        <v>0.004360065045290208</v>
      </c>
      <c r="F223" s="247">
        <v>4281.6719254785385</v>
      </c>
      <c r="G223" s="246">
        <v>35328.32284397339</v>
      </c>
      <c r="H223" s="247">
        <v>19238.832729370508</v>
      </c>
      <c r="I223" s="247">
        <v>6869.14585292027</v>
      </c>
      <c r="J223" s="128">
        <v>246441.81799999997</v>
      </c>
    </row>
    <row r="224">
      <c r="A224" s="245">
        <v>43325.0</v>
      </c>
      <c r="B224" s="28">
        <v>0.10033394096037263</v>
      </c>
      <c r="C224" s="28">
        <v>0.04020114402207745</v>
      </c>
      <c r="D224" s="28">
        <v>0.14053508498245007</v>
      </c>
      <c r="E224" s="28">
        <v>-0.002827535259083948</v>
      </c>
      <c r="F224" s="247">
        <v>-2886.5101192577677</v>
      </c>
      <c r="G224" s="246">
        <v>31046.650918494848</v>
      </c>
      <c r="H224" s="247">
        <v>19238.832729370508</v>
      </c>
      <c r="I224" s="247">
        <v>6869.14585292027</v>
      </c>
      <c r="J224" s="128">
        <v>242998.27399999998</v>
      </c>
    </row>
    <row r="225">
      <c r="A225" s="245">
        <v>43322.0</v>
      </c>
      <c r="B225" s="28">
        <v>0.11328159928051887</v>
      </c>
      <c r="C225" s="28">
        <v>0.040319498714978565</v>
      </c>
      <c r="D225" s="28">
        <v>0.15360109799549743</v>
      </c>
      <c r="E225" s="28">
        <v>0.014858944085092909</v>
      </c>
      <c r="F225" s="247">
        <v>14711.25373820659</v>
      </c>
      <c r="G225" s="246">
        <v>33933.161037752616</v>
      </c>
      <c r="H225" s="247">
        <v>19238.832729370508</v>
      </c>
      <c r="I225" s="247">
        <v>6869.14585292027</v>
      </c>
      <c r="J225" s="128">
        <v>245458.45400000014</v>
      </c>
    </row>
    <row r="226">
      <c r="A226" s="245">
        <v>43321.0</v>
      </c>
      <c r="B226" s="28">
        <v>0.046650356142579105</v>
      </c>
      <c r="C226" s="28">
        <v>0.04035910529524868</v>
      </c>
      <c r="D226" s="28">
        <v>0.08700946143782778</v>
      </c>
      <c r="E226" s="28">
        <v>0.006960278790708909</v>
      </c>
      <c r="F226" s="247">
        <v>6791.87992021392</v>
      </c>
      <c r="G226" s="246">
        <v>19221.907299546026</v>
      </c>
      <c r="H226" s="247">
        <v>19238.832729370508</v>
      </c>
      <c r="I226" s="247">
        <v>6869.14585292027</v>
      </c>
      <c r="J226" s="128">
        <v>233472.69200000016</v>
      </c>
    </row>
    <row r="227">
      <c r="A227" s="245">
        <v>43320.0</v>
      </c>
      <c r="B227" s="28">
        <v>0.015866697893814938</v>
      </c>
      <c r="C227" s="28">
        <v>0.04039878976456554</v>
      </c>
      <c r="D227" s="28">
        <v>0.05626548765838048</v>
      </c>
      <c r="E227" s="28">
        <v>-0.002092917335277462</v>
      </c>
      <c r="F227" s="247">
        <v>-2047.948729139538</v>
      </c>
      <c r="G227" s="246">
        <v>12430.027379332107</v>
      </c>
      <c r="H227" s="247">
        <v>19238.832729370508</v>
      </c>
      <c r="I227" s="247">
        <v>6869.14585292027</v>
      </c>
      <c r="J227" s="128">
        <v>229954.31000000006</v>
      </c>
    </row>
    <row r="228">
      <c r="A228" s="245">
        <v>43319.0</v>
      </c>
      <c r="B228" s="28">
        <v>0.025097134833422557</v>
      </c>
      <c r="C228" s="28">
        <v>0.0404385523529165</v>
      </c>
      <c r="D228" s="28">
        <v>0.06553568718633905</v>
      </c>
      <c r="E228" s="28">
        <v>-0.003955628267148287</v>
      </c>
      <c r="F228" s="247">
        <v>-3233.3909654870513</v>
      </c>
      <c r="G228" s="246">
        <v>14477.976108471645</v>
      </c>
      <c r="H228" s="247">
        <v>19238.832729370508</v>
      </c>
      <c r="I228" s="247">
        <v>6869.14585292027</v>
      </c>
      <c r="J228" s="128">
        <v>231561.37800000003</v>
      </c>
    </row>
    <row r="229">
      <c r="A229" s="245">
        <v>43318.0</v>
      </c>
      <c r="B229" s="28">
        <v>0.03969349009257376</v>
      </c>
      <c r="C229" s="28">
        <v>0.040478393291195236</v>
      </c>
      <c r="D229" s="28">
        <v>0.08017188338376899</v>
      </c>
      <c r="E229" s="28">
        <v>0.006430065556227211</v>
      </c>
      <c r="F229" s="247">
        <v>6264.557157083458</v>
      </c>
      <c r="G229" s="246">
        <v>17711.367073958696</v>
      </c>
      <c r="H229" s="247">
        <v>19238.832729370508</v>
      </c>
      <c r="I229" s="247">
        <v>6869.14585292027</v>
      </c>
      <c r="J229" s="128">
        <v>233676.696</v>
      </c>
    </row>
    <row r="230">
      <c r="A230" s="245">
        <v>43315.0</v>
      </c>
      <c r="B230" s="28">
        <v>0.011216488659952556</v>
      </c>
      <c r="C230" s="28">
        <v>0.04059838852822446</v>
      </c>
      <c r="D230" s="28">
        <v>0.05181487718817702</v>
      </c>
      <c r="E230" s="28">
        <v>0.005005098160566388</v>
      </c>
      <c r="F230" s="247">
        <v>4879.014472655198</v>
      </c>
      <c r="G230" s="246">
        <v>11446.809916875238</v>
      </c>
      <c r="H230" s="247">
        <v>19238.832729370508</v>
      </c>
      <c r="I230" s="247">
        <v>6869.14585292027</v>
      </c>
      <c r="J230" s="128">
        <v>229784.50800000015</v>
      </c>
    </row>
    <row r="231">
      <c r="A231" s="245">
        <v>43314.0</v>
      </c>
      <c r="B231" s="28">
        <v>-0.010908907258447457</v>
      </c>
      <c r="C231" s="28">
        <v>0.04063854519343537</v>
      </c>
      <c r="D231" s="28">
        <v>0.029729637934987913</v>
      </c>
      <c r="E231" s="28">
        <v>0.004930361932714623</v>
      </c>
      <c r="F231" s="247">
        <v>4791.453490378414</v>
      </c>
      <c r="G231" s="246">
        <v>6567.79544422004</v>
      </c>
      <c r="H231" s="247">
        <v>19238.832729370508</v>
      </c>
      <c r="I231" s="247">
        <v>6869.14585292027</v>
      </c>
      <c r="J231" s="128">
        <v>225758.47800000024</v>
      </c>
    </row>
    <row r="232">
      <c r="A232" s="245">
        <v>43313.0</v>
      </c>
      <c r="B232" s="28">
        <v>-0.032638031084714206</v>
      </c>
      <c r="C232" s="28">
        <v>0.0406787813767952</v>
      </c>
      <c r="D232" s="28">
        <v>0.008040750292080998</v>
      </c>
      <c r="E232" s="28">
        <v>-0.0026181042221789285</v>
      </c>
      <c r="F232" s="247">
        <v>-960.3205916210429</v>
      </c>
      <c r="G232" s="246">
        <v>1776.3419538416254</v>
      </c>
      <c r="H232" s="247">
        <v>19238.832729370508</v>
      </c>
      <c r="I232" s="247">
        <v>6869.14585292027</v>
      </c>
      <c r="J232" s="128">
        <v>222144.71800000023</v>
      </c>
    </row>
    <row r="233">
      <c r="A233" s="245">
        <v>43312.0</v>
      </c>
      <c r="B233" s="28">
        <v>-0.02829106508480136</v>
      </c>
      <c r="C233" s="28">
        <v>0.0406787813767952</v>
      </c>
      <c r="D233" s="28">
        <v>0.012387716291993842</v>
      </c>
      <c r="E233" s="28">
        <v>0.0029556130585910332</v>
      </c>
      <c r="F233" s="247">
        <v>2779.9357793658637</v>
      </c>
      <c r="G233" s="246">
        <v>2736.6625454626683</v>
      </c>
      <c r="H233" s="247">
        <v>17970.885087645926</v>
      </c>
      <c r="I233" s="247">
        <v>6709.9234341846295</v>
      </c>
      <c r="J233" s="128">
        <v>223579.75000000012</v>
      </c>
    </row>
    <row r="234">
      <c r="A234" s="245">
        <v>43311.0</v>
      </c>
      <c r="B234" s="28">
        <v>-0.04476676196123595</v>
      </c>
      <c r="C234" s="28">
        <v>0.04457088229550272</v>
      </c>
      <c r="D234" s="28">
        <v>-1.9587966573322846E-4</v>
      </c>
      <c r="E234" s="28">
        <v>-0.00794027208299974</v>
      </c>
      <c r="F234" s="247">
        <v>-8008.810143885387</v>
      </c>
      <c r="G234" s="246">
        <v>-43.27323390319537</v>
      </c>
      <c r="H234" s="247">
        <v>17970.885087645926</v>
      </c>
      <c r="I234" s="247">
        <v>6709.9234341846295</v>
      </c>
      <c r="J234" s="128">
        <v>220965.11999999994</v>
      </c>
    </row>
    <row r="235">
      <c r="A235" s="245">
        <v>43308.0</v>
      </c>
      <c r="B235" s="28">
        <v>-0.00869165523015001</v>
      </c>
      <c r="C235" s="28">
        <v>0.044748278841952475</v>
      </c>
      <c r="D235" s="28">
        <v>0.036056623611802466</v>
      </c>
      <c r="E235" s="28">
        <v>-8.540861288220167E-4</v>
      </c>
      <c r="F235" s="247">
        <v>-877.1024480066035</v>
      </c>
      <c r="G235" s="246">
        <v>7965.536909982192</v>
      </c>
      <c r="H235" s="247">
        <v>17970.885087645926</v>
      </c>
      <c r="I235" s="247">
        <v>6709.9234341846295</v>
      </c>
      <c r="J235" s="128">
        <v>226998.6879999999</v>
      </c>
    </row>
    <row r="236">
      <c r="A236" s="245">
        <v>43307.0</v>
      </c>
      <c r="B236" s="28">
        <v>-0.004765952641704611</v>
      </c>
      <c r="C236" s="28">
        <v>0.044792848840799045</v>
      </c>
      <c r="D236" s="28">
        <v>0.040026896199094435</v>
      </c>
      <c r="E236" s="28">
        <v>0.0034243188130746774</v>
      </c>
      <c r="F236" s="247">
        <v>3482.457966002221</v>
      </c>
      <c r="G236" s="246">
        <v>8842.639357988795</v>
      </c>
      <c r="H236" s="247">
        <v>17970.885087645926</v>
      </c>
      <c r="I236" s="247">
        <v>6709.9234341846295</v>
      </c>
      <c r="J236" s="128">
        <v>226777.10599999997</v>
      </c>
    </row>
    <row r="237">
      <c r="A237" s="245">
        <v>43306.0</v>
      </c>
      <c r="B237" s="28">
        <v>-0.020574228900059967</v>
      </c>
      <c r="C237" s="28">
        <v>0.044837507713023174</v>
      </c>
      <c r="D237" s="28">
        <v>0.024263278812963206</v>
      </c>
      <c r="E237" s="28">
        <v>0.004396395461449809</v>
      </c>
      <c r="F237" s="247">
        <v>4466.138809870006</v>
      </c>
      <c r="G237" s="246">
        <v>5360.181391986574</v>
      </c>
      <c r="H237" s="247">
        <v>17970.885087645926</v>
      </c>
      <c r="I237" s="247">
        <v>6709.9234341846295</v>
      </c>
      <c r="J237" s="128">
        <v>226659.35000000003</v>
      </c>
    </row>
    <row r="238">
      <c r="A238" s="245">
        <v>43305.0</v>
      </c>
      <c r="B238" s="28">
        <v>-0.04083530230015413</v>
      </c>
      <c r="C238" s="28">
        <v>0.04488225572471282</v>
      </c>
      <c r="D238" s="28">
        <v>0.004046953424558693</v>
      </c>
      <c r="E238" s="28">
        <v>-0.002469321514954386</v>
      </c>
      <c r="F238" s="247">
        <v>-1128.2448186488252</v>
      </c>
      <c r="G238" s="246">
        <v>894.0425821165682</v>
      </c>
      <c r="H238" s="247">
        <v>17970.885087645926</v>
      </c>
      <c r="I238" s="247">
        <v>6709.9234341846295</v>
      </c>
      <c r="J238" s="128">
        <v>222898.952</v>
      </c>
    </row>
    <row r="239">
      <c r="A239" s="245">
        <v>43304.0</v>
      </c>
      <c r="B239" s="241">
        <v>-0.035818158599788125</v>
      </c>
      <c r="C239" s="241">
        <v>0.044972200124962745</v>
      </c>
      <c r="D239" s="241">
        <v>0.00915404152517462</v>
      </c>
      <c r="E239" s="241">
        <v>-0.002469321514954386</v>
      </c>
      <c r="F239" s="247">
        <v>-1128.2448186488252</v>
      </c>
      <c r="G239" s="246">
        <v>2022.2874007653934</v>
      </c>
      <c r="H239" s="247">
        <v>10661.922506173694</v>
      </c>
      <c r="I239" s="247">
        <v>7316.1039329759</v>
      </c>
      <c r="J239" s="128">
        <v>220462.51799999987</v>
      </c>
    </row>
    <row r="240">
      <c r="A240" s="245">
        <v>43301.0</v>
      </c>
      <c r="B240" s="28">
        <v>-0.03080101489942212</v>
      </c>
      <c r="C240" s="28">
        <v>0.04506214452521267</v>
      </c>
      <c r="D240" s="28">
        <v>0.014261129625790549</v>
      </c>
      <c r="E240" s="28">
        <v>-0.011099601525440586</v>
      </c>
      <c r="F240" s="247">
        <v>-7069.479014214974</v>
      </c>
      <c r="G240" s="246">
        <v>3150.5322194142186</v>
      </c>
      <c r="H240" s="247">
        <v>10661.922506173694</v>
      </c>
      <c r="I240" s="247">
        <v>7316.1039329759</v>
      </c>
      <c r="J240" s="128">
        <v>223870.42800000007</v>
      </c>
    </row>
    <row r="241">
      <c r="A241" s="245">
        <v>43300.0</v>
      </c>
      <c r="B241" s="28">
        <v>0.0011543350757814454</v>
      </c>
      <c r="C241" s="28">
        <v>0.0451073422629511</v>
      </c>
      <c r="D241" s="28">
        <v>0.04626167733873254</v>
      </c>
      <c r="E241" s="28">
        <v>0.0018260191553907843</v>
      </c>
      <c r="F241" s="247">
        <v>1166.324583172218</v>
      </c>
      <c r="G241" s="246">
        <v>10220.011233629193</v>
      </c>
      <c r="H241" s="247">
        <v>10661.922506173694</v>
      </c>
      <c r="I241" s="247">
        <v>7316.1039329759</v>
      </c>
      <c r="J241" s="128">
        <v>228592.88000000006</v>
      </c>
    </row>
    <row r="242">
      <c r="A242" s="245">
        <v>43299.0</v>
      </c>
      <c r="B242" s="28">
        <v>-0.00417041254291843</v>
      </c>
      <c r="C242" s="28">
        <v>0.04515263075919904</v>
      </c>
      <c r="D242" s="28">
        <v>0.04098221821628061</v>
      </c>
      <c r="E242" s="28">
        <v>0.003104335351364045</v>
      </c>
      <c r="F242" s="247">
        <v>1989.4936390998</v>
      </c>
      <c r="G242" s="246">
        <v>9053.686650456975</v>
      </c>
      <c r="H242" s="247">
        <v>10661.922506173694</v>
      </c>
      <c r="I242" s="247">
        <v>7316.1039329759</v>
      </c>
      <c r="J242" s="128">
        <v>227311.01800000004</v>
      </c>
    </row>
    <row r="243">
      <c r="A243" s="245">
        <v>43298.0</v>
      </c>
      <c r="B243" s="28">
        <v>-0.013221390078555162</v>
      </c>
      <c r="C243" s="28">
        <v>0.045198010287600246</v>
      </c>
      <c r="D243" s="28">
        <v>0.031976620209045084</v>
      </c>
      <c r="E243" s="28">
        <v>0.00267135972671557</v>
      </c>
      <c r="F243" s="247">
        <v>1709.1239146191765</v>
      </c>
      <c r="G243" s="246">
        <v>7064.193011357175</v>
      </c>
      <c r="H243" s="247">
        <v>10661.922506173694</v>
      </c>
      <c r="I243" s="247">
        <v>7316.1039329759</v>
      </c>
      <c r="J243" s="128">
        <v>225647.63199999998</v>
      </c>
    </row>
    <row r="244">
      <c r="A244" s="245">
        <v>43297.0</v>
      </c>
      <c r="B244" s="28">
        <v>-0.021003343512802402</v>
      </c>
      <c r="C244" s="28">
        <v>0.04524348112289964</v>
      </c>
      <c r="D244" s="28">
        <v>0.024240137610097235</v>
      </c>
      <c r="E244" s="28">
        <v>-0.007522455939933409</v>
      </c>
      <c r="F244" s="247">
        <v>-4673.363409837996</v>
      </c>
      <c r="G244" s="246">
        <v>5355.069096737999</v>
      </c>
      <c r="H244" s="247">
        <v>9083.742506173701</v>
      </c>
      <c r="I244" s="247">
        <v>6489.4668433701645</v>
      </c>
      <c r="J244" s="128">
        <v>225049.72999999998</v>
      </c>
    </row>
    <row r="245">
      <c r="A245" s="245">
        <v>43294.0</v>
      </c>
      <c r="B245" s="28">
        <v>1.4037065896173973E-5</v>
      </c>
      <c r="C245" s="28">
        <v>0.04538044423427068</v>
      </c>
      <c r="D245" s="28">
        <v>0.04539448130016685</v>
      </c>
      <c r="E245" s="28">
        <v>0.0027726138030923345</v>
      </c>
      <c r="F245" s="247">
        <v>1580.8162964674411</v>
      </c>
      <c r="G245" s="246">
        <v>10028.432506575995</v>
      </c>
      <c r="H245" s="247">
        <v>9083.742506173701</v>
      </c>
      <c r="I245" s="247">
        <v>6489.4668433701645</v>
      </c>
      <c r="J245" s="128">
        <v>228277.78200000012</v>
      </c>
    </row>
    <row r="246">
      <c r="A246" s="245">
        <v>43293.0</v>
      </c>
      <c r="B246" s="28">
        <v>-0.007187489932479689</v>
      </c>
      <c r="C246" s="28">
        <v>0.045426283066830546</v>
      </c>
      <c r="D246" s="28">
        <v>0.03823879313435086</v>
      </c>
      <c r="E246" s="28">
        <v>0.0030860621165356584</v>
      </c>
      <c r="F246" s="247">
        <v>1759.1450364541115</v>
      </c>
      <c r="G246" s="246">
        <v>8447.616210108554</v>
      </c>
      <c r="H246" s="247">
        <v>9083.742506173701</v>
      </c>
      <c r="I246" s="247">
        <v>6489.4668433701645</v>
      </c>
      <c r="J246" s="128">
        <v>226753.17600000015</v>
      </c>
    </row>
    <row r="247">
      <c r="A247" s="245">
        <v>43292.0</v>
      </c>
      <c r="B247" s="28">
        <v>-0.01519632856767159</v>
      </c>
      <c r="C247" s="28">
        <v>0.045472214596726235</v>
      </c>
      <c r="D247" s="28">
        <v>0.030275886029054642</v>
      </c>
      <c r="E247" s="28">
        <v>7.043684693068704E-4</v>
      </c>
      <c r="F247" s="247">
        <v>395.8486231353618</v>
      </c>
      <c r="G247" s="246">
        <v>6688.471173654442</v>
      </c>
      <c r="H247" s="247">
        <v>9083.742506173701</v>
      </c>
      <c r="I247" s="247">
        <v>6489.4668433701645</v>
      </c>
      <c r="J247" s="128">
        <v>225244.59600000008</v>
      </c>
    </row>
    <row r="248">
      <c r="A248" s="245">
        <v>43291.0</v>
      </c>
      <c r="B248" s="28">
        <v>-0.017034192719191477</v>
      </c>
      <c r="C248" s="28">
        <v>0.04551823910542738</v>
      </c>
      <c r="D248" s="28">
        <v>0.0284840463862359</v>
      </c>
      <c r="E248" s="28">
        <v>0.0013361916263893415</v>
      </c>
      <c r="F248" s="247">
        <v>757.6433981897881</v>
      </c>
      <c r="G248" s="246">
        <v>6292.6225505190805</v>
      </c>
      <c r="H248" s="247">
        <v>9083.742506173701</v>
      </c>
      <c r="I248" s="247">
        <v>6489.4668433701645</v>
      </c>
      <c r="J248" s="128">
        <v>225627.6640000001</v>
      </c>
    </row>
    <row r="249">
      <c r="A249" s="245">
        <v>43290.0</v>
      </c>
      <c r="B249" s="28">
        <v>-0.020509842377643774</v>
      </c>
      <c r="C249" s="28">
        <v>0.045564356875544325</v>
      </c>
      <c r="D249" s="28">
        <v>0.02505451449790055</v>
      </c>
      <c r="E249" s="28">
        <v>0.0010687543473265765</v>
      </c>
      <c r="F249" s="247">
        <v>981.9736378905391</v>
      </c>
      <c r="G249" s="246">
        <v>5534.979152329292</v>
      </c>
      <c r="H249" s="247">
        <v>9083.742506173701</v>
      </c>
      <c r="I249" s="247">
        <v>6489.4668433701645</v>
      </c>
      <c r="J249" s="128">
        <v>116987.56399999998</v>
      </c>
    </row>
    <row r="250">
      <c r="A250" s="245">
        <v>43287.0</v>
      </c>
      <c r="B250" s="28">
        <v>-0.025604417150991283</v>
      </c>
      <c r="C250" s="28">
        <v>0.0462139514475245</v>
      </c>
      <c r="D250" s="28">
        <v>0.020609534296533217</v>
      </c>
      <c r="E250" s="28">
        <v>-0.0012504394031402953</v>
      </c>
      <c r="F250" s="247">
        <v>-720.7178014481042</v>
      </c>
      <c r="G250" s="246">
        <v>4553.005514438753</v>
      </c>
      <c r="H250" s="247">
        <v>9083.742506173701</v>
      </c>
      <c r="I250" s="247">
        <v>6489.4668433701645</v>
      </c>
      <c r="J250" s="128">
        <v>116496.33800000002</v>
      </c>
    </row>
    <row r="251">
      <c r="A251" s="245">
        <v>43286.0</v>
      </c>
      <c r="B251" s="28">
        <v>-0.02238904502950858</v>
      </c>
      <c r="C251" s="28">
        <v>0.046260964622954336</v>
      </c>
      <c r="D251" s="28">
        <v>0.023871919593445756</v>
      </c>
      <c r="E251" s="28">
        <v>-0.001021206223919431</v>
      </c>
      <c r="F251" s="247">
        <v>185.01502602990786</v>
      </c>
      <c r="G251" s="246">
        <v>5273.723315886858</v>
      </c>
      <c r="H251" s="247">
        <v>9083.742506173701</v>
      </c>
      <c r="I251" s="247">
        <v>6489.4668433701645</v>
      </c>
      <c r="J251" s="128">
        <v>117000.59599999999</v>
      </c>
    </row>
    <row r="252">
      <c r="A252" s="245">
        <v>43285.0</v>
      </c>
      <c r="B252" s="28">
        <v>-0.01975871821550624</v>
      </c>
      <c r="C252" s="28">
        <v>0.042793152874605854</v>
      </c>
      <c r="D252" s="28">
        <v>0.023034434659099615</v>
      </c>
      <c r="E252" s="28">
        <v>-9.224676061348955E-4</v>
      </c>
      <c r="F252" s="247">
        <v>-535.7361233810925</v>
      </c>
      <c r="G252" s="246">
        <v>5088.70828985695</v>
      </c>
      <c r="H252" s="247">
        <v>9083.742506173701</v>
      </c>
      <c r="I252" s="247">
        <v>6489.4668433701645</v>
      </c>
      <c r="J252" s="128">
        <v>117360.682</v>
      </c>
    </row>
    <row r="253">
      <c r="A253" s="245">
        <v>43284.0</v>
      </c>
      <c r="B253" s="28">
        <v>-0.017377288871097348</v>
      </c>
      <c r="C253" s="28">
        <v>0.04283677484491636</v>
      </c>
      <c r="D253" s="28">
        <v>0.025459485973819012</v>
      </c>
      <c r="E253" s="28">
        <v>0.0015848820404775075</v>
      </c>
      <c r="F253" s="247">
        <v>907.5509268648611</v>
      </c>
      <c r="G253" s="246">
        <v>5624.444413238042</v>
      </c>
      <c r="H253" s="247">
        <v>9083.742506173701</v>
      </c>
      <c r="I253" s="247">
        <v>6489.4668433701645</v>
      </c>
      <c r="J253" s="128">
        <v>117513.64200000002</v>
      </c>
    </row>
    <row r="254">
      <c r="A254" s="245">
        <v>43283.0</v>
      </c>
      <c r="B254" s="28">
        <v>-0.02152909986566267</v>
      </c>
      <c r="C254" s="28">
        <v>0.04288048583965607</v>
      </c>
      <c r="D254" s="28">
        <v>0.0213513859739934</v>
      </c>
      <c r="E254" s="28">
        <v>-9.162127632499735E-4</v>
      </c>
      <c r="F254" s="247">
        <v>26.883321853822054</v>
      </c>
      <c r="G254" s="246">
        <v>4716.893486373181</v>
      </c>
      <c r="H254" s="247">
        <v>9083.742506173701</v>
      </c>
      <c r="I254" s="247">
        <v>6489.4668433701645</v>
      </c>
      <c r="J254" s="128">
        <v>117318.65</v>
      </c>
    </row>
    <row r="255">
      <c r="A255" s="245">
        <v>43280.0</v>
      </c>
      <c r="B255" s="28">
        <v>-0.023461005539590785</v>
      </c>
      <c r="C255" s="28">
        <v>0.04469070206207923</v>
      </c>
      <c r="D255" s="28">
        <v>0.021229696522488444</v>
      </c>
      <c r="E255" s="28">
        <v>-0.0062184452906430465</v>
      </c>
      <c r="F255" s="247">
        <v>-357.34123816326246</v>
      </c>
      <c r="G255" s="246">
        <v>4690.010164519359</v>
      </c>
      <c r="H255" s="247">
        <v>9083.742506173701</v>
      </c>
      <c r="I255" s="247">
        <v>6489.4668433701645</v>
      </c>
      <c r="J255" s="128">
        <v>117454.13999999998</v>
      </c>
    </row>
    <row r="256">
      <c r="A256" s="245">
        <v>43279.0</v>
      </c>
      <c r="B256" s="28">
        <v>-0.00659594949397851</v>
      </c>
      <c r="C256" s="28">
        <v>0.02944317898016231</v>
      </c>
      <c r="D256" s="28">
        <v>0.022847229486183798</v>
      </c>
      <c r="E256" s="28">
        <v>-0.0013675462055778552</v>
      </c>
      <c r="F256" s="247">
        <v>-831.6737792731547</v>
      </c>
      <c r="G256" s="246">
        <v>5047.3514026826215</v>
      </c>
      <c r="H256" s="247">
        <v>9083.742506173701</v>
      </c>
      <c r="I256" s="247">
        <v>6489.4668433701645</v>
      </c>
      <c r="J256" s="128">
        <v>119111.51600000003</v>
      </c>
    </row>
    <row r="257">
      <c r="A257" s="245">
        <v>43278.0</v>
      </c>
      <c r="B257" s="28">
        <v>-0.002861511448448627</v>
      </c>
      <c r="C257" s="28">
        <v>0.029473377112449652</v>
      </c>
      <c r="D257" s="28">
        <v>0.026611865664001026</v>
      </c>
      <c r="E257" s="28">
        <v>0.011888307456831304</v>
      </c>
      <c r="F257" s="247">
        <v>7195.9878168666355</v>
      </c>
      <c r="G257" s="246">
        <v>5879.025181955776</v>
      </c>
      <c r="H257" s="247">
        <v>9083.742506173701</v>
      </c>
      <c r="I257" s="247">
        <v>6489.4668433701645</v>
      </c>
      <c r="J257" s="128">
        <v>117187.91</v>
      </c>
    </row>
    <row r="258">
      <c r="A258" s="245">
        <v>43277.0</v>
      </c>
      <c r="B258" s="28">
        <v>-0.03546497125674445</v>
      </c>
      <c r="C258" s="28">
        <v>0.02950363725322219</v>
      </c>
      <c r="D258" s="28">
        <v>-0.005961334003522261</v>
      </c>
      <c r="E258" s="28">
        <v>0.0030416813770725018</v>
      </c>
      <c r="F258" s="247">
        <v>1823.9887702409983</v>
      </c>
      <c r="G258" s="246">
        <v>-1316.9626349108594</v>
      </c>
      <c r="H258" s="247">
        <v>9083.742506173701</v>
      </c>
      <c r="I258" s="247">
        <v>6489.4668433701645</v>
      </c>
      <c r="J258" s="128">
        <v>112893.55800000005</v>
      </c>
    </row>
    <row r="259">
      <c r="A259" s="245">
        <v>43276.0</v>
      </c>
      <c r="B259" s="28">
        <v>-0.04375172091702508</v>
      </c>
      <c r="C259" s="28">
        <v>0.029533959593667433</v>
      </c>
      <c r="D259" s="28">
        <v>-0.014217761323357649</v>
      </c>
      <c r="E259" s="28">
        <v>-0.008079244482340323</v>
      </c>
      <c r="F259" s="247">
        <v>-4709.12212674247</v>
      </c>
      <c r="G259" s="246">
        <v>-3140.9514051518577</v>
      </c>
      <c r="H259" s="247">
        <v>9083.742506173701</v>
      </c>
      <c r="I259" s="247">
        <v>6489.4668433701645</v>
      </c>
      <c r="J259" s="128">
        <v>112094.77000000005</v>
      </c>
    </row>
    <row r="260">
      <c r="A260" s="245">
        <v>43273.0</v>
      </c>
      <c r="B260" s="28">
        <v>-0.022526854751128988</v>
      </c>
      <c r="C260" s="28">
        <v>0.02962530173674063</v>
      </c>
      <c r="D260" s="28">
        <v>0.007098446985611642</v>
      </c>
      <c r="E260" s="28">
        <v>-0.002066866955970422</v>
      </c>
      <c r="F260" s="247">
        <v>-1251.2506910588531</v>
      </c>
      <c r="G260" s="246">
        <v>1568.1707215906117</v>
      </c>
      <c r="H260" s="247">
        <v>9083.742506173701</v>
      </c>
      <c r="I260" s="247">
        <v>6489.4668433701645</v>
      </c>
      <c r="J260" s="128">
        <v>115270.51400000005</v>
      </c>
    </row>
    <row r="261">
      <c r="A261" s="245">
        <v>43272.0</v>
      </c>
      <c r="B261" s="28">
        <v>-0.016893544049476815</v>
      </c>
      <c r="C261" s="28">
        <v>0.02965587480354841</v>
      </c>
      <c r="D261" s="28">
        <v>0.012762330754071596</v>
      </c>
      <c r="E261" s="28">
        <v>-0.005576682087729457</v>
      </c>
      <c r="F261" s="247">
        <v>-3385.030102091831</v>
      </c>
      <c r="G261" s="246">
        <v>2819.421412649465</v>
      </c>
      <c r="H261" s="247">
        <v>9083.742506173701</v>
      </c>
      <c r="I261" s="247">
        <v>6489.4668433701645</v>
      </c>
      <c r="J261" s="128">
        <v>115650.91600000006</v>
      </c>
    </row>
    <row r="262">
      <c r="A262" s="245">
        <v>43271.0</v>
      </c>
      <c r="B262" s="28">
        <v>-0.0016015777166122809</v>
      </c>
      <c r="C262" s="28">
        <v>0.029686511037849597</v>
      </c>
      <c r="D262" s="28">
        <v>0.028084933321237317</v>
      </c>
      <c r="E262" s="28">
        <v>-6.041643882001327E-4</v>
      </c>
      <c r="F262" s="247">
        <v>-216.04244143950564</v>
      </c>
      <c r="G262" s="246">
        <v>6204.451514741296</v>
      </c>
      <c r="H262" s="247">
        <v>9083.742506173701</v>
      </c>
      <c r="I262" s="247">
        <v>6489.4668433701645</v>
      </c>
      <c r="J262" s="128">
        <v>117356.03799999997</v>
      </c>
    </row>
    <row r="263">
      <c r="A263" s="245">
        <v>43270.0</v>
      </c>
      <c r="B263" s="28">
        <v>-6.236447683138153E-4</v>
      </c>
      <c r="C263" s="28">
        <v>0.029686511037849597</v>
      </c>
      <c r="D263" s="28">
        <v>0.029062866269535782</v>
      </c>
      <c r="E263" s="28">
        <v>0.00782791532044539</v>
      </c>
      <c r="F263" s="247">
        <v>1729.3229971985656</v>
      </c>
      <c r="G263" s="246">
        <v>6420.493956180801</v>
      </c>
      <c r="H263" s="247">
        <v>9083.742506173701</v>
      </c>
      <c r="I263" s="247">
        <v>6489.4668433701645</v>
      </c>
      <c r="J263" s="128">
        <v>117994.932</v>
      </c>
    </row>
    <row r="264">
      <c r="A264" s="245">
        <v>43269.0</v>
      </c>
      <c r="B264" s="28">
        <v>-0.008482259686523266</v>
      </c>
      <c r="C264" s="28">
        <v>0.02971721063561366</v>
      </c>
      <c r="D264" s="28">
        <v>0.021234950949090392</v>
      </c>
      <c r="E264" s="28">
        <v>-0.007244470253654163</v>
      </c>
      <c r="F264" s="247">
        <v>-737.5996676240302</v>
      </c>
      <c r="G264" s="246">
        <v>4691.170958982236</v>
      </c>
      <c r="H264" s="247">
        <v>9083.742506173701</v>
      </c>
      <c r="I264" s="247">
        <v>6489.4668433701645</v>
      </c>
      <c r="J264" s="128">
        <v>117008.74200000006</v>
      </c>
    </row>
    <row r="265">
      <c r="A265" s="245">
        <v>43266.0</v>
      </c>
      <c r="B265" s="28">
        <v>-0.005235938252649949</v>
      </c>
      <c r="C265" s="28">
        <v>0.029809691581575114</v>
      </c>
      <c r="D265" s="28">
        <v>0.024573753328925165</v>
      </c>
      <c r="E265" s="28">
        <v>-0.00368814008458734</v>
      </c>
      <c r="F265" s="247">
        <v>-814.7744583424874</v>
      </c>
      <c r="G265" s="246">
        <v>5428.770626606266</v>
      </c>
      <c r="H265" s="247">
        <v>9083.742506173701</v>
      </c>
      <c r="I265" s="247">
        <v>6489.4668433701645</v>
      </c>
      <c r="J265" s="128">
        <v>117144.38399999999</v>
      </c>
    </row>
    <row r="266">
      <c r="A266" s="245">
        <v>43265.0</v>
      </c>
      <c r="B266" s="28">
        <v>-0.0015787531956654895</v>
      </c>
      <c r="C266" s="28">
        <v>0.029840646609177995</v>
      </c>
      <c r="D266" s="28">
        <v>0.028261893413512505</v>
      </c>
      <c r="E266" s="28">
        <v>0.02474955898878539</v>
      </c>
      <c r="F266" s="247">
        <v>5467.609162562307</v>
      </c>
      <c r="G266" s="246">
        <v>6243.545084948753</v>
      </c>
      <c r="H266" s="247">
        <v>9083.742506173701</v>
      </c>
      <c r="I266" s="247">
        <v>6489.4668433701645</v>
      </c>
      <c r="J266" s="128">
        <v>116985.80800000005</v>
      </c>
    </row>
    <row r="267">
      <c r="A267" s="245">
        <v>43264.0</v>
      </c>
      <c r="B267" s="28">
        <v>-0.02635933156762051</v>
      </c>
      <c r="C267" s="28">
        <v>0.029871665992347623</v>
      </c>
      <c r="D267" s="28">
        <v>0.0035123344247271135</v>
      </c>
      <c r="E267" s="28">
        <v>0.003377853235649264</v>
      </c>
      <c r="F267" s="247">
        <v>746.2266826409025</v>
      </c>
      <c r="G267" s="246">
        <v>775.935922386447</v>
      </c>
      <c r="H267" s="247">
        <v>9083.742506173701</v>
      </c>
      <c r="I267" s="247">
        <v>6489.4668433701645</v>
      </c>
      <c r="J267" s="128">
        <v>114671.53</v>
      </c>
    </row>
    <row r="268">
      <c r="A268" s="245">
        <v>43263.0</v>
      </c>
      <c r="B268" s="28">
        <v>-0.02976826874290801</v>
      </c>
      <c r="C268" s="28">
        <v>0.02990274993198586</v>
      </c>
      <c r="D268" s="28">
        <v>1.344811890778494E-4</v>
      </c>
      <c r="E268" s="28">
        <v>0.002017159723591129</v>
      </c>
      <c r="F268" s="247">
        <v>445.6257581016302</v>
      </c>
      <c r="G268" s="246">
        <v>29.70923974554459</v>
      </c>
      <c r="H268" s="247">
        <v>9083.742506173701</v>
      </c>
      <c r="I268" s="247">
        <v>6489.4668433701645</v>
      </c>
      <c r="J268" s="128">
        <v>113400.714</v>
      </c>
    </row>
    <row r="269">
      <c r="A269" s="245">
        <v>43262.0</v>
      </c>
      <c r="B269" s="28">
        <v>-0.03181657716434496</v>
      </c>
      <c r="C269" s="28">
        <v>0.02993389862983168</v>
      </c>
      <c r="D269" s="28">
        <v>-0.0018826785345132796</v>
      </c>
      <c r="E269" s="28">
        <v>-0.004582503662836437</v>
      </c>
      <c r="F269" s="247">
        <v>-859.2759123944443</v>
      </c>
      <c r="G269" s="246">
        <v>-415.9165183560856</v>
      </c>
      <c r="H269" s="247">
        <v>9083.742506173701</v>
      </c>
      <c r="I269" s="247">
        <v>6489.4668433701645</v>
      </c>
      <c r="J269" s="128">
        <v>113295.29000000001</v>
      </c>
    </row>
    <row r="270">
      <c r="A270" s="245">
        <v>43259.0</v>
      </c>
      <c r="B270" s="28">
        <v>-0.028020834452621296</v>
      </c>
      <c r="C270" s="28">
        <v>0.030027735302652465</v>
      </c>
      <c r="D270" s="28">
        <v>0.0020069008500311694</v>
      </c>
      <c r="E270" s="28">
        <v>0.00893930583940149</v>
      </c>
      <c r="F270" s="247">
        <v>1974.8485432247692</v>
      </c>
      <c r="G270" s="246">
        <v>443.35939403835863</v>
      </c>
      <c r="H270" s="247">
        <v>6472.201861277941</v>
      </c>
      <c r="I270" s="247">
        <v>6738.175685288983</v>
      </c>
      <c r="J270" s="128">
        <v>114497.33800000008</v>
      </c>
    </row>
    <row r="271">
      <c r="A271" s="245">
        <v>43258.0</v>
      </c>
      <c r="B271" s="28">
        <v>-0.03699155005698372</v>
      </c>
      <c r="C271" s="28">
        <v>0.0300591450676134</v>
      </c>
      <c r="D271" s="28">
        <v>-0.006932404989370321</v>
      </c>
      <c r="E271" s="28">
        <v>-5.615200528304443E-4</v>
      </c>
      <c r="F271" s="247">
        <v>-124.04957143718707</v>
      </c>
      <c r="G271" s="246">
        <v>-1531.4891491864105</v>
      </c>
      <c r="H271" s="247">
        <v>6472.201861277941</v>
      </c>
      <c r="I271" s="247">
        <v>6738.175685288983</v>
      </c>
      <c r="J271" s="128">
        <v>112703.44000000012</v>
      </c>
    </row>
    <row r="272">
      <c r="A272" s="245">
        <v>43257.0</v>
      </c>
      <c r="B272" s="28">
        <v>-0.036461505548726694</v>
      </c>
      <c r="C272" s="28">
        <v>0.030090620612186817</v>
      </c>
      <c r="D272" s="28">
        <v>-0.006370884936539877</v>
      </c>
      <c r="E272" s="28">
        <v>-0.00815082676113291</v>
      </c>
      <c r="F272" s="247">
        <v>-1800.6597653647905</v>
      </c>
      <c r="G272" s="246">
        <v>-1407.4395777492234</v>
      </c>
      <c r="H272" s="247">
        <v>6472.201861277941</v>
      </c>
      <c r="I272" s="247">
        <v>6738.175685288983</v>
      </c>
      <c r="J272" s="128">
        <v>88248.95400000009</v>
      </c>
    </row>
    <row r="273">
      <c r="A273" s="245">
        <v>43256.0</v>
      </c>
      <c r="B273" s="28">
        <v>-0.02834222031863381</v>
      </c>
      <c r="C273" s="28">
        <v>0.030122162143226845</v>
      </c>
      <c r="D273" s="28">
        <v>0.001779941824593033</v>
      </c>
      <c r="E273" s="28">
        <v>-0.007724989181165286</v>
      </c>
      <c r="F273" s="247">
        <v>-1706.5848182091925</v>
      </c>
      <c r="G273" s="246">
        <v>393.22018761556706</v>
      </c>
      <c r="H273" s="247">
        <v>6563.48186127794</v>
      </c>
      <c r="I273" s="247">
        <v>6802.83059926748</v>
      </c>
      <c r="J273" s="128">
        <v>91148.57400000008</v>
      </c>
    </row>
    <row r="274">
      <c r="A274" s="245">
        <v>43255.0</v>
      </c>
      <c r="B274" s="28">
        <v>-0.0171110087612281</v>
      </c>
      <c r="C274" s="28">
        <v>0.0304159397669864</v>
      </c>
      <c r="D274" s="28">
        <v>0.009504931005758319</v>
      </c>
      <c r="E274" s="28">
        <v>-0.0074241217901819465</v>
      </c>
      <c r="F274" s="247">
        <v>-1595.7049209982379</v>
      </c>
      <c r="G274" s="246">
        <v>2099.8050058247595</v>
      </c>
      <c r="H274" s="247">
        <v>5881.259132784586</v>
      </c>
      <c r="I274" s="247">
        <v>6958.204680938696</v>
      </c>
      <c r="J274" s="128">
        <v>90963.4520000001</v>
      </c>
    </row>
    <row r="275">
      <c r="A275" s="245">
        <v>43252.0</v>
      </c>
      <c r="B275" s="28">
        <v>-0.017667111490894838</v>
      </c>
      <c r="C275" s="28">
        <v>0.0306159397669864</v>
      </c>
      <c r="D275" s="28">
        <v>0.016728013690847914</v>
      </c>
      <c r="E275" s="28">
        <v>-0.0048475590530868695</v>
      </c>
      <c r="F275" s="247">
        <v>-1070.9103263912489</v>
      </c>
      <c r="G275" s="246">
        <v>3695.5099268229974</v>
      </c>
      <c r="H275" s="247">
        <v>5881.259132784586</v>
      </c>
      <c r="I275" s="247">
        <v>6958.204680938696</v>
      </c>
      <c r="J275" s="128">
        <v>91522.38900000008</v>
      </c>
    </row>
    <row r="276">
      <c r="A276" s="245">
        <v>43251.0</v>
      </c>
      <c r="B276" s="28">
        <v>-0.0090903324020164</v>
      </c>
      <c r="C276" s="28">
        <v>0.030665905145951182</v>
      </c>
      <c r="D276" s="28">
        <v>0.021575572743934783</v>
      </c>
      <c r="E276" s="28">
        <v>0.004115488668584633</v>
      </c>
      <c r="F276" s="247">
        <v>909.1832126370746</v>
      </c>
      <c r="G276" s="246">
        <v>4766.420253214246</v>
      </c>
      <c r="H276" s="247">
        <v>5881.259132784586</v>
      </c>
      <c r="I276" s="247">
        <v>6958.204680938696</v>
      </c>
      <c r="J276" s="128">
        <v>91750.99900000013</v>
      </c>
    </row>
    <row r="277">
      <c r="A277" s="245">
        <v>43250.0</v>
      </c>
      <c r="B277" s="28">
        <v>-0.013238203230206047</v>
      </c>
      <c r="C277" s="28">
        <v>0.030698287305556196</v>
      </c>
      <c r="D277" s="28">
        <v>0.01746008407535015</v>
      </c>
      <c r="E277" s="28">
        <v>-0.012517071391652375</v>
      </c>
      <c r="F277" s="247">
        <v>-2765.2393426669187</v>
      </c>
      <c r="G277" s="246">
        <v>3857.2370405771717</v>
      </c>
      <c r="H277" s="247">
        <v>5881.259132784586</v>
      </c>
      <c r="I277" s="247">
        <v>6958.204680938696</v>
      </c>
      <c r="J277" s="128">
        <v>91248.62100000013</v>
      </c>
    </row>
    <row r="278">
      <c r="A278" s="245">
        <v>43249.0</v>
      </c>
      <c r="B278" s="28">
        <v>-7.535824593840699E-4</v>
      </c>
      <c r="C278" s="28">
        <v>0.030730737926386593</v>
      </c>
      <c r="D278" s="28">
        <v>0.029977155467002525</v>
      </c>
      <c r="E278" s="28">
        <v>0.01618031365285199</v>
      </c>
      <c r="F278" s="247">
        <v>3574.5163832440903</v>
      </c>
      <c r="G278" s="246">
        <v>6622.47638324409</v>
      </c>
      <c r="H278" s="247">
        <v>5881.259132784586</v>
      </c>
      <c r="I278" s="247">
        <v>6958.204680938696</v>
      </c>
      <c r="J278" s="128">
        <v>93510.85500000013</v>
      </c>
    </row>
    <row r="279">
      <c r="A279" s="245">
        <v>43248.0</v>
      </c>
      <c r="B279" s="28">
        <v>-0.017</v>
      </c>
      <c r="C279" s="28">
        <v>0.0308</v>
      </c>
      <c r="D279" s="28">
        <v>0.0138</v>
      </c>
      <c r="E279" s="28">
        <v>0.0046</v>
      </c>
      <c r="F279" s="247">
        <v>1018.8696963677876</v>
      </c>
      <c r="G279" s="246">
        <v>3047.96</v>
      </c>
      <c r="H279" s="246">
        <v>5881.26</v>
      </c>
      <c r="I279" s="246">
        <v>6958.2</v>
      </c>
      <c r="J279" s="128">
        <v>91532.22800000012</v>
      </c>
    </row>
    <row r="280">
      <c r="A280" s="245">
        <v>43245.0</v>
      </c>
      <c r="B280" s="28">
        <v>-0.021643667339030847</v>
      </c>
      <c r="C280" s="28">
        <v>0.03082850273421179</v>
      </c>
      <c r="D280" s="28">
        <v>0.009184835395180942</v>
      </c>
      <c r="E280" s="28">
        <v>0.014658935381627339</v>
      </c>
      <c r="F280" s="247">
        <v>3238.4144478013513</v>
      </c>
      <c r="G280" s="246">
        <v>2029.0903036322125</v>
      </c>
      <c r="H280" s="247">
        <v>5881.259132784586</v>
      </c>
      <c r="I280" s="247">
        <v>6958.204680938696</v>
      </c>
      <c r="J280" s="128">
        <v>90258.72400000013</v>
      </c>
    </row>
    <row r="281">
      <c r="A281" s="245">
        <v>43244.0</v>
      </c>
      <c r="B281" s="28">
        <v>-0.03636812557450348</v>
      </c>
      <c r="C281" s="28">
        <v>0.030894025588057084</v>
      </c>
      <c r="D281" s="28">
        <v>-0.005474099986446396</v>
      </c>
      <c r="E281" s="28">
        <v>0.0049622155322448305</v>
      </c>
      <c r="F281" s="247">
        <v>1096.2399420128954</v>
      </c>
      <c r="G281" s="246">
        <v>-1209.324144169139</v>
      </c>
      <c r="H281" s="247">
        <v>5881.259132784586</v>
      </c>
      <c r="I281" s="247">
        <v>6958.204680938696</v>
      </c>
      <c r="J281" s="128">
        <v>88403.5830000001</v>
      </c>
    </row>
    <row r="282">
      <c r="A282" s="245">
        <v>43243.0</v>
      </c>
      <c r="B282" s="28">
        <v>-0.04136320709141646</v>
      </c>
      <c r="C282" s="28">
        <v>0.03092689157272523</v>
      </c>
      <c r="D282" s="28">
        <v>-0.010436315518691227</v>
      </c>
      <c r="E282" s="28">
        <v>0.015396839597304698</v>
      </c>
      <c r="F282" s="247">
        <v>3401.4303565922532</v>
      </c>
      <c r="G282" s="246">
        <v>-2305.5640861820343</v>
      </c>
      <c r="H282" s="247">
        <v>5881.259132784586</v>
      </c>
      <c r="I282" s="247">
        <v>6958.204680938696</v>
      </c>
      <c r="J282" s="128">
        <v>87678.9940000001</v>
      </c>
    </row>
    <row r="283">
      <c r="A283" s="245">
        <v>43242.0</v>
      </c>
      <c r="B283" s="28">
        <v>-0.05679298267548657</v>
      </c>
      <c r="C283" s="28">
        <v>0.030959827559490644</v>
      </c>
      <c r="D283" s="28">
        <v>-0.025833155115995925</v>
      </c>
      <c r="E283" s="28">
        <v>-0.001442014369251423</v>
      </c>
      <c r="F283" s="247">
        <v>-318.56611996351876</v>
      </c>
      <c r="G283" s="246">
        <v>-5706.994442774288</v>
      </c>
      <c r="H283" s="247">
        <v>5881.259132784586</v>
      </c>
      <c r="I283" s="247">
        <v>6958.204680938696</v>
      </c>
      <c r="J283" s="128">
        <v>85574.96500000011</v>
      </c>
    </row>
    <row r="284">
      <c r="A284" s="245">
        <v>43241.0</v>
      </c>
      <c r="B284" s="28">
        <v>-0.055383974518985135</v>
      </c>
      <c r="C284" s="28">
        <v>0.030992833772240633</v>
      </c>
      <c r="D284" s="28">
        <v>-0.0243911407467445</v>
      </c>
      <c r="E284" s="28">
        <v>0.008095149675338167</v>
      </c>
      <c r="F284" s="247">
        <v>2056.6857437106264</v>
      </c>
      <c r="G284" s="246">
        <v>-5388.428322810769</v>
      </c>
      <c r="H284" s="247">
        <v>5881.259132784586</v>
      </c>
      <c r="I284" s="247">
        <v>6958.204680938696</v>
      </c>
      <c r="J284" s="128">
        <v>85527.22500000012</v>
      </c>
    </row>
    <row r="285">
      <c r="A285" s="245">
        <v>43238.0</v>
      </c>
      <c r="B285" s="28">
        <v>-0.062075197856825234</v>
      </c>
      <c r="C285" s="28">
        <v>0.02837430880475277</v>
      </c>
      <c r="D285" s="28">
        <v>-0.03370088905207247</v>
      </c>
      <c r="E285" s="28">
        <v>0.005740038232732378</v>
      </c>
      <c r="F285" s="247">
        <v>1268.0745401955028</v>
      </c>
      <c r="G285" s="246">
        <v>-7445.114066521395</v>
      </c>
      <c r="H285" s="247">
        <v>5881.259132784586</v>
      </c>
      <c r="I285" s="247">
        <v>6958.204680938696</v>
      </c>
      <c r="J285" s="128">
        <v>85099.24000000014</v>
      </c>
    </row>
    <row r="286">
      <c r="A286" s="245">
        <v>43237.0</v>
      </c>
      <c r="B286" s="28">
        <v>-0.06784561543517298</v>
      </c>
      <c r="C286" s="28">
        <v>0.028404688150368135</v>
      </c>
      <c r="D286" s="28">
        <v>-0.03944092728480485</v>
      </c>
      <c r="E286" s="28">
        <v>-0.004301362194410484</v>
      </c>
      <c r="F286" s="247">
        <v>-950.2459157480143</v>
      </c>
      <c r="G286" s="246">
        <v>-8713.188606716898</v>
      </c>
      <c r="H286" s="247">
        <v>5881.259132784586</v>
      </c>
      <c r="I286" s="247">
        <v>6958.204680938696</v>
      </c>
      <c r="J286" s="128">
        <v>84375.67900000012</v>
      </c>
    </row>
    <row r="287">
      <c r="A287" s="245">
        <v>43236.0</v>
      </c>
      <c r="B287" s="28">
        <v>-0.06357469770823342</v>
      </c>
      <c r="C287" s="28">
        <v>0.028435132617839053</v>
      </c>
      <c r="D287" s="28">
        <v>-0.03513956509039436</v>
      </c>
      <c r="E287" s="28">
        <v>0.0072910420399697265</v>
      </c>
      <c r="F287" s="247">
        <v>1610.7183275640991</v>
      </c>
      <c r="G287" s="246">
        <v>-7762.942690968884</v>
      </c>
      <c r="H287" s="247">
        <v>5881.259132784586</v>
      </c>
      <c r="I287" s="247">
        <v>6958.204680938696</v>
      </c>
      <c r="J287" s="128">
        <v>84877.2710000001</v>
      </c>
    </row>
    <row r="288">
      <c r="A288" s="245">
        <v>43235.0</v>
      </c>
      <c r="B288" s="28">
        <v>-0.07089624954714932</v>
      </c>
      <c r="C288" s="28">
        <v>0.028465642416785234</v>
      </c>
      <c r="D288" s="28">
        <v>-0.04243060713036409</v>
      </c>
      <c r="E288" s="28">
        <v>-0.0010718629265307478</v>
      </c>
      <c r="F288" s="247">
        <v>-236.79321157867525</v>
      </c>
      <c r="G288" s="246">
        <v>-9373.661018532983</v>
      </c>
      <c r="H288" s="247">
        <v>5881.259132784586</v>
      </c>
      <c r="I288" s="247">
        <v>6958.204680938696</v>
      </c>
      <c r="J288" s="128">
        <v>83672.4830000001</v>
      </c>
    </row>
    <row r="289">
      <c r="A289" s="245">
        <v>43234.0</v>
      </c>
      <c r="B289" s="28">
        <v>-0.06985496196156034</v>
      </c>
      <c r="C289" s="28">
        <v>0.028496217757727</v>
      </c>
      <c r="D289" s="28">
        <v>-0.04135874420383334</v>
      </c>
      <c r="E289" s="28">
        <v>-0.003935660790469628</v>
      </c>
      <c r="F289" s="247">
        <v>-920.4013613107709</v>
      </c>
      <c r="G289" s="246">
        <v>-9136.867806954308</v>
      </c>
      <c r="H289" s="247">
        <v>5881.259132784586</v>
      </c>
      <c r="I289" s="247">
        <v>6958.204680938696</v>
      </c>
      <c r="J289" s="128">
        <v>83987.55500000011</v>
      </c>
    </row>
    <row r="290">
      <c r="A290" s="245">
        <v>43231.0</v>
      </c>
      <c r="B290" s="28">
        <v>-0.06578081486233868</v>
      </c>
      <c r="C290" s="28">
        <v>0.02858833915134034</v>
      </c>
      <c r="D290" s="28">
        <v>-0.03719247571099834</v>
      </c>
      <c r="E290" s="28">
        <v>-0.01603016036147936</v>
      </c>
      <c r="F290" s="247">
        <v>-3541.341957223658</v>
      </c>
      <c r="G290" s="246">
        <v>-8216.466445643537</v>
      </c>
      <c r="H290" s="247">
        <v>5881.259132784586</v>
      </c>
      <c r="I290" s="247">
        <v>6958.204680938696</v>
      </c>
      <c r="J290" s="128">
        <v>84694.59000000011</v>
      </c>
    </row>
    <row r="291">
      <c r="A291" s="245">
        <v>43230.0</v>
      </c>
      <c r="B291" s="28">
        <v>-0.03688746229525589</v>
      </c>
      <c r="C291" s="28">
        <v>0.01572514694573691</v>
      </c>
      <c r="D291" s="28">
        <v>-0.02116231534951898</v>
      </c>
      <c r="E291" s="28">
        <v>0.0018742026661245567</v>
      </c>
      <c r="F291" s="247">
        <v>414.0440512271216</v>
      </c>
      <c r="G291" s="246">
        <v>-4675.124488419879</v>
      </c>
      <c r="H291" s="247">
        <v>5881.259132784586</v>
      </c>
      <c r="I291" s="247">
        <v>6958.204680938696</v>
      </c>
      <c r="J291" s="128">
        <v>84651.15300000011</v>
      </c>
    </row>
    <row r="292">
      <c r="A292" s="245">
        <v>43229.0</v>
      </c>
      <c r="B292" s="28">
        <v>-0.03877864676153783</v>
      </c>
      <c r="C292" s="28">
        <v>0.015742128745894295</v>
      </c>
      <c r="D292" s="28">
        <v>-0.023036518015643537</v>
      </c>
      <c r="E292" s="28">
        <v>0.003010019029704429</v>
      </c>
      <c r="F292" s="247">
        <v>190.21534113536836</v>
      </c>
      <c r="G292" s="246">
        <v>-5089.168539647</v>
      </c>
      <c r="H292" s="247">
        <v>5881.259132784586</v>
      </c>
      <c r="I292" s="247">
        <v>6958.204680938696</v>
      </c>
      <c r="J292" s="128">
        <v>84156.47500000012</v>
      </c>
    </row>
    <row r="293">
      <c r="A293" s="245">
        <v>43228.0</v>
      </c>
      <c r="B293" s="28">
        <v>-0.039656689845055035</v>
      </c>
      <c r="C293" s="28">
        <v>0.015759147263457424</v>
      </c>
      <c r="D293" s="28">
        <v>-0.02389754258159761</v>
      </c>
      <c r="E293" s="28">
        <v>-0.004095634880180589</v>
      </c>
      <c r="F293" s="247">
        <v>678.7006971820529</v>
      </c>
      <c r="G293" s="246">
        <v>-5279.383880782369</v>
      </c>
      <c r="H293" s="247">
        <v>5881.259132784586</v>
      </c>
      <c r="I293" s="247">
        <v>6958.204680938696</v>
      </c>
      <c r="J293" s="128">
        <v>83665.75000000012</v>
      </c>
    </row>
    <row r="294">
      <c r="A294" s="245">
        <v>43227.0</v>
      </c>
      <c r="B294" s="28">
        <v>-0.03768131265007968</v>
      </c>
      <c r="C294" s="28">
        <v>0.010711578468604602</v>
      </c>
      <c r="D294" s="28">
        <v>-0.026969734181475077</v>
      </c>
      <c r="E294" s="28">
        <v>0.00616617554797735</v>
      </c>
      <c r="F294" s="247">
        <v>1362.2157041006394</v>
      </c>
      <c r="G294" s="246">
        <v>-5958.084577964421</v>
      </c>
      <c r="H294" s="247">
        <v>13608.712000000018</v>
      </c>
      <c r="I294" s="247">
        <v>3710.8735519713164</v>
      </c>
      <c r="J294" s="128">
        <v>83401.39100000009</v>
      </c>
    </row>
    <row r="295">
      <c r="A295" s="245">
        <v>43224.0</v>
      </c>
      <c r="B295" s="28">
        <v>-0.04381269846359937</v>
      </c>
      <c r="C295" s="28">
        <v>0.010676788734146942</v>
      </c>
      <c r="D295" s="28">
        <v>-0.03313590972945243</v>
      </c>
      <c r="E295" s="28">
        <v>-0.0011380321192998658</v>
      </c>
      <c r="F295" s="247">
        <v>-251.41114011743048</v>
      </c>
      <c r="G295" s="246">
        <v>-7320.300282065061</v>
      </c>
      <c r="H295" s="247">
        <v>19430.362000000016</v>
      </c>
      <c r="I295" s="247">
        <v>3244.917853046569</v>
      </c>
      <c r="J295" s="128">
        <v>82218.83900000007</v>
      </c>
    </row>
    <row r="296">
      <c r="A296" s="245">
        <v>43223.0</v>
      </c>
      <c r="B296" s="28">
        <v>-0.042686284177524916</v>
      </c>
      <c r="C296" s="28">
        <v>0.010688406567372351</v>
      </c>
      <c r="D296" s="28">
        <v>-0.03199787761015256</v>
      </c>
      <c r="E296" s="28">
        <v>-9.234456848038197E-4</v>
      </c>
      <c r="F296" s="247">
        <v>-204.00525478655345</v>
      </c>
      <c r="G296" s="246">
        <v>-7068.88914194763</v>
      </c>
      <c r="H296" s="247">
        <v>19430.362000000016</v>
      </c>
      <c r="I296" s="247">
        <v>3244.917853046569</v>
      </c>
      <c r="J296" s="128">
        <v>82470.2501401175</v>
      </c>
    </row>
    <row r="297">
      <c r="A297" s="245">
        <v>43222.0</v>
      </c>
      <c r="B297" s="28">
        <v>-0.04175625240569324</v>
      </c>
      <c r="C297" s="28">
        <v>0.010681820480344497</v>
      </c>
      <c r="D297" s="28">
        <v>-0.03107443192534874</v>
      </c>
      <c r="E297" s="28">
        <v>0.004173806754209558</v>
      </c>
      <c r="F297" s="247">
        <v>922.0666947003474</v>
      </c>
      <c r="G297" s="246">
        <v>-6864.883887161077</v>
      </c>
      <c r="H297" s="247">
        <v>19430.362000000016</v>
      </c>
      <c r="I297" s="247">
        <v>3244.917853046569</v>
      </c>
      <c r="J297" s="128">
        <v>82674.25539490404</v>
      </c>
    </row>
    <row r="298">
      <c r="A298" s="245">
        <v>43220.0</v>
      </c>
      <c r="B298" s="28">
        <v>-0.0459417078190962</v>
      </c>
      <c r="C298" s="28">
        <v>0.010693469139537896</v>
      </c>
      <c r="D298" s="28">
        <v>-0.0352482386795583</v>
      </c>
      <c r="E298" s="28">
        <v>0.0026581810843352913</v>
      </c>
      <c r="F298" s="247">
        <v>639.9104267426837</v>
      </c>
      <c r="G298" s="246">
        <v>-7786.950581861424</v>
      </c>
      <c r="H298" s="247">
        <v>21143.475000000013</v>
      </c>
      <c r="I298" s="247">
        <v>4300.680999999959</v>
      </c>
      <c r="J298" s="128">
        <v>81752.1887002037</v>
      </c>
    </row>
    <row r="299">
      <c r="A299" s="245">
        <v>43217.0</v>
      </c>
      <c r="B299" s="28">
        <v>-0.048873411150760916</v>
      </c>
      <c r="C299" s="28">
        <v>0.010728568053562626</v>
      </c>
      <c r="D299" s="28">
        <v>-0.03814484309719829</v>
      </c>
      <c r="E299" s="28">
        <v>0.013756262455032968</v>
      </c>
      <c r="F299" s="247">
        <v>3038.9982575378926</v>
      </c>
      <c r="G299" s="246">
        <v>-8426.861008604108</v>
      </c>
      <c r="H299" s="247">
        <v>21143.475000000013</v>
      </c>
      <c r="I299" s="247">
        <v>4300.680999999959</v>
      </c>
      <c r="J299" s="128">
        <v>81112.27827346101</v>
      </c>
    </row>
    <row r="300">
      <c r="A300" s="245">
        <v>43216.0</v>
      </c>
      <c r="B300" s="28">
        <v>-0.06264142450179998</v>
      </c>
      <c r="C300" s="28">
        <v>0.010740318949568721</v>
      </c>
      <c r="D300" s="28">
        <v>-0.05190110555223126</v>
      </c>
      <c r="E300" s="28">
        <v>0.002770702320029385</v>
      </c>
      <c r="F300" s="247">
        <v>612.0964579041483</v>
      </c>
      <c r="G300" s="246">
        <v>-11465.859266142</v>
      </c>
      <c r="H300" s="247">
        <v>21143.475000000013</v>
      </c>
      <c r="I300" s="247">
        <v>4300.680999999959</v>
      </c>
      <c r="J300" s="128">
        <v>78073.28001592311</v>
      </c>
    </row>
    <row r="301">
      <c r="A301" s="245">
        <v>43215.0</v>
      </c>
      <c r="B301" s="28">
        <v>-0.06542390348734424</v>
      </c>
      <c r="C301" s="28">
        <v>0.0107520956150836</v>
      </c>
      <c r="D301" s="28">
        <v>-0.05467180787226064</v>
      </c>
      <c r="E301" s="28">
        <v>-0.009690614141258581</v>
      </c>
      <c r="F301" s="247">
        <v>-2140.825648392758</v>
      </c>
      <c r="G301" s="246">
        <v>-12077.955724046149</v>
      </c>
      <c r="H301" s="247">
        <v>21143.475000000013</v>
      </c>
      <c r="I301" s="247">
        <v>4300.680999999959</v>
      </c>
      <c r="J301" s="128">
        <v>77461.18355801897</v>
      </c>
    </row>
    <row r="302">
      <c r="A302" s="245">
        <v>43214.0</v>
      </c>
      <c r="B302" s="28">
        <v>-0.05574509186597049</v>
      </c>
      <c r="C302" s="28">
        <v>0.010763898134968433</v>
      </c>
      <c r="D302" s="28">
        <v>-0.04498119373100206</v>
      </c>
      <c r="E302" s="28">
        <v>0.002642840206775028</v>
      </c>
      <c r="F302" s="247">
        <v>583.8494874312237</v>
      </c>
      <c r="G302" s="246">
        <v>-9937.130075653391</v>
      </c>
      <c r="H302" s="247">
        <v>21143.475000000013</v>
      </c>
      <c r="I302" s="247">
        <v>4300.680999999959</v>
      </c>
      <c r="J302" s="128">
        <v>79602.00920641172</v>
      </c>
    </row>
    <row r="303">
      <c r="A303" s="245">
        <v>43213.0</v>
      </c>
      <c r="B303" s="28">
        <v>-0.0583997605322345</v>
      </c>
      <c r="C303" s="28">
        <v>0.010775726594457411</v>
      </c>
      <c r="D303" s="28">
        <v>-0.04762403393777709</v>
      </c>
      <c r="E303" s="28">
        <v>0.00458829519813897</v>
      </c>
      <c r="F303" s="247">
        <v>-215.84642822774367</v>
      </c>
      <c r="G303" s="246">
        <v>-10520.979563084615</v>
      </c>
      <c r="H303" s="247">
        <v>21143.475000000013</v>
      </c>
      <c r="I303" s="247">
        <v>4300.680999999959</v>
      </c>
      <c r="J303" s="128">
        <v>79018.15971898049</v>
      </c>
    </row>
    <row r="304">
      <c r="A304" s="245">
        <v>43210.0</v>
      </c>
      <c r="B304" s="28">
        <v>-0.0574583567270873</v>
      </c>
      <c r="C304" s="28">
        <v>0.010811368468529486</v>
      </c>
      <c r="D304" s="28">
        <v>-0.046646988258557814</v>
      </c>
      <c r="E304" s="28">
        <v>-0.002219940578710583</v>
      </c>
      <c r="F304" s="247">
        <v>-490.4235850829409</v>
      </c>
      <c r="G304" s="246">
        <v>-10305.133134856871</v>
      </c>
      <c r="H304" s="247">
        <v>21143.475000000013</v>
      </c>
      <c r="I304" s="247">
        <v>4300.680999999959</v>
      </c>
      <c r="J304" s="128">
        <v>79234.00614720823</v>
      </c>
    </row>
    <row r="305">
      <c r="A305" s="245">
        <v>43209.0</v>
      </c>
      <c r="B305" s="28">
        <v>-0.05525034922615655</v>
      </c>
      <c r="C305" s="28">
        <v>0.010823301546309321</v>
      </c>
      <c r="D305" s="28">
        <v>-0.04442704767984723</v>
      </c>
      <c r="E305" s="28">
        <v>-0.0022512844180714447</v>
      </c>
      <c r="F305" s="247">
        <v>-497.34798577052425</v>
      </c>
      <c r="G305" s="246">
        <v>-9814.70954977393</v>
      </c>
      <c r="H305" s="247">
        <v>21143.475000000013</v>
      </c>
      <c r="I305" s="247">
        <v>4300.680999999959</v>
      </c>
      <c r="J305" s="128">
        <v>79724.42973229117</v>
      </c>
    </row>
    <row r="306">
      <c r="A306" s="245">
        <v>43208.0</v>
      </c>
      <c r="B306" s="28">
        <v>-0.05301102425730755</v>
      </c>
      <c r="C306" s="28">
        <v>0.01083526099553176</v>
      </c>
      <c r="D306" s="28">
        <v>-0.04217576326177579</v>
      </c>
      <c r="E306" s="28">
        <v>0.005552964896219509</v>
      </c>
      <c r="F306" s="247">
        <v>1226.7467779815433</v>
      </c>
      <c r="G306" s="246">
        <v>-9317.361564003406</v>
      </c>
      <c r="H306" s="247">
        <v>21143.475000000013</v>
      </c>
      <c r="I306" s="247">
        <v>4300.680999999959</v>
      </c>
      <c r="J306" s="128">
        <v>80221.7777180617</v>
      </c>
    </row>
    <row r="307">
      <c r="A307" s="245">
        <v>43207.0</v>
      </c>
      <c r="B307" s="28">
        <v>-0.058575975061707954</v>
      </c>
      <c r="C307" s="28">
        <v>0.010847246903712658</v>
      </c>
      <c r="D307" s="28">
        <v>-0.047728728157995295</v>
      </c>
      <c r="E307" s="28">
        <v>0.001778651566986228</v>
      </c>
      <c r="F307" s="247">
        <v>392.93514721075735</v>
      </c>
      <c r="G307" s="246">
        <v>-10544.10834198495</v>
      </c>
      <c r="H307" s="247">
        <v>21143.475000000013</v>
      </c>
      <c r="I307" s="247">
        <v>4300.680999999959</v>
      </c>
      <c r="J307" s="128">
        <v>78995.03094008015</v>
      </c>
    </row>
    <row r="308">
      <c r="A308" s="245">
        <v>43206.0</v>
      </c>
      <c r="B308" s="28">
        <v>-0.06036663908373706</v>
      </c>
      <c r="C308" s="28">
        <v>0.010859259358755535</v>
      </c>
      <c r="D308" s="28">
        <v>-0.04950737972498152</v>
      </c>
      <c r="E308" s="28">
        <v>-5.643615722858916E-4</v>
      </c>
      <c r="F308" s="247">
        <v>-93.69472865026546</v>
      </c>
      <c r="G308" s="246">
        <v>-10937.043489195707</v>
      </c>
      <c r="H308" s="247">
        <v>21143.475000000013</v>
      </c>
      <c r="I308" s="247">
        <v>4300.680999999959</v>
      </c>
      <c r="J308" s="128">
        <v>78602.0957928694</v>
      </c>
    </row>
    <row r="309">
      <c r="A309" s="245">
        <v>43203.0</v>
      </c>
      <c r="B309" s="28">
        <v>-0.05997872012366175</v>
      </c>
      <c r="C309" s="28">
        <v>0.010895456889951383</v>
      </c>
      <c r="D309" s="28">
        <v>-0.049083263233710366</v>
      </c>
      <c r="E309" s="28">
        <v>7.07404290298197E-4</v>
      </c>
      <c r="F309" s="247">
        <v>156.27794341801928</v>
      </c>
      <c r="G309" s="246">
        <v>-10843.348760545441</v>
      </c>
      <c r="H309" s="247">
        <v>21143.475000000013</v>
      </c>
      <c r="I309" s="247">
        <v>4300.680999999959</v>
      </c>
      <c r="J309" s="128">
        <v>78695.79052151967</v>
      </c>
    </row>
    <row r="310">
      <c r="A310" s="245">
        <v>43202.0</v>
      </c>
      <c r="B310" s="28">
        <v>-0.06069824394331473</v>
      </c>
      <c r="C310" s="28">
        <v>0.010907576419306168</v>
      </c>
      <c r="D310" s="28">
        <v>-0.04979066752400856</v>
      </c>
      <c r="E310" s="28">
        <v>0.005466839565853761</v>
      </c>
      <c r="F310" s="247">
        <v>1207.7201906532664</v>
      </c>
      <c r="G310" s="246">
        <v>-10999.62670396346</v>
      </c>
      <c r="H310" s="247">
        <v>21143.475000000013</v>
      </c>
      <c r="I310" s="247">
        <v>4300.680999999959</v>
      </c>
      <c r="J310" s="128">
        <v>78539.51257810165</v>
      </c>
    </row>
    <row r="311">
      <c r="A311" s="245">
        <v>43201.0</v>
      </c>
      <c r="B311" s="28">
        <v>-0.06617723003079355</v>
      </c>
      <c r="C311" s="28">
        <v>0.01091972294093123</v>
      </c>
      <c r="D311" s="28">
        <v>-0.05525750708986232</v>
      </c>
      <c r="E311" s="28">
        <v>-0.007313774061391165</v>
      </c>
      <c r="F311" s="247">
        <v>-1615.740227496286</v>
      </c>
      <c r="G311" s="246">
        <v>-12207.346894616727</v>
      </c>
      <c r="H311" s="247">
        <v>21143.475000000013</v>
      </c>
      <c r="I311" s="247">
        <v>4300.680999999959</v>
      </c>
      <c r="J311" s="128">
        <v>77331.79238744838</v>
      </c>
    </row>
    <row r="312">
      <c r="A312" s="245">
        <v>43200.0</v>
      </c>
      <c r="B312" s="28">
        <v>-0.06146635721205336</v>
      </c>
      <c r="C312" s="28">
        <v>0.013522624183582204</v>
      </c>
      <c r="D312" s="28">
        <v>-0.04794373302847116</v>
      </c>
      <c r="E312" s="28">
        <v>0.0037285185797773512</v>
      </c>
      <c r="F312" s="247">
        <v>823.6947720487406</v>
      </c>
      <c r="G312" s="246">
        <v>-10591.60666712044</v>
      </c>
      <c r="H312" s="247">
        <v>21143.475000000013</v>
      </c>
      <c r="I312" s="247">
        <v>4300.680999999959</v>
      </c>
      <c r="J312" s="128">
        <v>78947.53261494466</v>
      </c>
    </row>
    <row r="313">
      <c r="A313" s="245">
        <v>43199.0</v>
      </c>
      <c r="B313" s="28">
        <v>-0.06334443924010465</v>
      </c>
      <c r="C313" s="28">
        <v>0.011672187631856136</v>
      </c>
      <c r="D313" s="28">
        <v>-0.05167225160824851</v>
      </c>
      <c r="E313" s="28">
        <v>3.3133158569147864E-4</v>
      </c>
      <c r="F313" s="247">
        <v>163.16088542287798</v>
      </c>
      <c r="G313" s="246">
        <v>-11415.301439169181</v>
      </c>
      <c r="H313" s="247">
        <v>21143.475000000013</v>
      </c>
      <c r="I313" s="247">
        <v>4300.680999999959</v>
      </c>
      <c r="J313" s="128">
        <v>78123.83784289593</v>
      </c>
    </row>
    <row r="314">
      <c r="A314" s="245">
        <v>43196.0</v>
      </c>
      <c r="B314" s="28">
        <v>-0.0641222119802841</v>
      </c>
      <c r="C314" s="28">
        <v>0.011711399908334934</v>
      </c>
      <c r="D314" s="28">
        <v>-0.05241081207194917</v>
      </c>
      <c r="E314" s="28">
        <v>-0.002962500774738877</v>
      </c>
      <c r="F314" s="247">
        <v>-654.4680811241851</v>
      </c>
      <c r="G314" s="246">
        <v>-11578.46232459206</v>
      </c>
      <c r="H314" s="247">
        <v>21143.475000000013</v>
      </c>
      <c r="I314" s="247">
        <v>4300.680999999959</v>
      </c>
      <c r="J314" s="128">
        <v>77960.67695747304</v>
      </c>
    </row>
    <row r="315">
      <c r="A315" s="245">
        <v>43195.0</v>
      </c>
      <c r="B315" s="28">
        <v>-0.06117284057763977</v>
      </c>
      <c r="C315" s="28">
        <v>0.011724529280429477</v>
      </c>
      <c r="D315" s="28">
        <v>-0.04944831129721029</v>
      </c>
      <c r="E315" s="28">
        <v>0.012756004447571148</v>
      </c>
      <c r="F315" s="247">
        <v>2818.0238212256063</v>
      </c>
      <c r="G315" s="246">
        <v>-10923.994243467874</v>
      </c>
      <c r="H315" s="247">
        <v>21143.475000000013</v>
      </c>
      <c r="I315" s="247">
        <v>4300.680999999959</v>
      </c>
      <c r="J315" s="128">
        <v>78615.14503859723</v>
      </c>
    </row>
    <row r="316">
      <c r="A316" s="245">
        <v>43194.0</v>
      </c>
      <c r="B316" s="28">
        <v>-0.07394200386839883</v>
      </c>
      <c r="C316" s="28">
        <v>0.011737688123617388</v>
      </c>
      <c r="D316" s="28">
        <v>-0.06220431574478144</v>
      </c>
      <c r="E316" s="28">
        <v>-0.004234194547415075</v>
      </c>
      <c r="F316" s="247">
        <v>-935.4074112596609</v>
      </c>
      <c r="G316" s="246">
        <v>-13742.01806469348</v>
      </c>
      <c r="H316" s="247">
        <v>21143.475000000013</v>
      </c>
      <c r="I316" s="247">
        <v>4300.680999999959</v>
      </c>
      <c r="J316" s="128">
        <v>75797.12121737162</v>
      </c>
    </row>
    <row r="317">
      <c r="A317" s="245">
        <v>43193.0</v>
      </c>
      <c r="B317" s="28">
        <v>-0.06955834169382187</v>
      </c>
      <c r="C317" s="28">
        <v>0.011588220496455505</v>
      </c>
      <c r="D317" s="28">
        <v>-0.057970121197366366</v>
      </c>
      <c r="E317" s="28">
        <v>-0.005111252532634045</v>
      </c>
      <c r="F317" s="247">
        <v>-77.92668572079674</v>
      </c>
      <c r="G317" s="246">
        <v>-12806.61065343382</v>
      </c>
      <c r="H317" s="247">
        <v>21143.475000000013</v>
      </c>
      <c r="I317" s="247">
        <v>4300.680999999959</v>
      </c>
      <c r="J317" s="128">
        <v>76732.52862863128</v>
      </c>
    </row>
    <row r="318">
      <c r="A318" s="245">
        <v>43188.0</v>
      </c>
      <c r="B318" s="28">
        <v>-0.0692518571887199</v>
      </c>
      <c r="C318" s="28">
        <v>0.011634477207432613</v>
      </c>
      <c r="D318" s="28">
        <v>-0.057617379981287284</v>
      </c>
      <c r="E318" s="28">
        <v>0.008140658977033949</v>
      </c>
      <c r="F318" s="247">
        <v>1798.4135245518682</v>
      </c>
      <c r="G318" s="246">
        <v>-12728.683967713023</v>
      </c>
      <c r="H318" s="247">
        <v>21143.475000000013</v>
      </c>
      <c r="I318" s="247">
        <v>4300.680999999959</v>
      </c>
      <c r="J318" s="128">
        <v>76810.45531435208</v>
      </c>
    </row>
    <row r="319">
      <c r="A319" s="245">
        <v>43187.0</v>
      </c>
      <c r="B319" s="28">
        <v>-0.07740567733906542</v>
      </c>
      <c r="C319" s="28">
        <v>0.011647638380744188</v>
      </c>
      <c r="D319" s="28">
        <v>-0.06575803895832123</v>
      </c>
      <c r="E319" s="28">
        <v>-3.8437196722064526E-4</v>
      </c>
      <c r="F319" s="247">
        <v>-84.91447022389184</v>
      </c>
      <c r="G319" s="246">
        <v>-14527.097492264891</v>
      </c>
      <c r="H319" s="247">
        <v>21143.475000000013</v>
      </c>
      <c r="I319" s="247">
        <v>4300.680999999959</v>
      </c>
      <c r="J319" s="128">
        <v>75012.0417898002</v>
      </c>
    </row>
    <row r="320">
      <c r="A320" s="245">
        <v>43186.0</v>
      </c>
      <c r="B320" s="28">
        <v>-0.07704771725025916</v>
      </c>
      <c r="C320" s="28">
        <v>0.011674050259158575</v>
      </c>
      <c r="D320" s="28">
        <v>-0.06537366699110059</v>
      </c>
      <c r="E320" s="28">
        <v>-0.0038237133759284198</v>
      </c>
      <c r="F320" s="247">
        <v>-844.7249625220211</v>
      </c>
      <c r="G320" s="246">
        <v>-14442.183022041</v>
      </c>
      <c r="H320" s="247">
        <v>21143.475000000013</v>
      </c>
      <c r="I320" s="247">
        <v>4300.680999999959</v>
      </c>
      <c r="J320" s="128">
        <v>75096.9562600241</v>
      </c>
    </row>
    <row r="321">
      <c r="A321" s="245">
        <v>43185.0</v>
      </c>
      <c r="B321" s="28">
        <v>-0.07325053580673792</v>
      </c>
      <c r="C321" s="28">
        <v>0.011700582191565754</v>
      </c>
      <c r="D321" s="28">
        <v>-0.06154995361517217</v>
      </c>
      <c r="E321" s="28">
        <v>-0.001886354987927219</v>
      </c>
      <c r="F321" s="247">
        <v>-416.72871102508907</v>
      </c>
      <c r="G321" s="246">
        <v>-13597.458059518978</v>
      </c>
      <c r="H321" s="247">
        <v>21143.475000000013</v>
      </c>
      <c r="I321" s="247">
        <v>4300.680999999959</v>
      </c>
      <c r="J321" s="128">
        <v>75941.68122254612</v>
      </c>
    </row>
    <row r="322">
      <c r="A322" s="245">
        <v>43182.0</v>
      </c>
      <c r="B322" s="28">
        <v>-0.07180009850816664</v>
      </c>
      <c r="C322" s="28">
        <v>0.012136499880921688</v>
      </c>
      <c r="D322" s="28">
        <v>-0.05966359862724495</v>
      </c>
      <c r="E322" s="28">
        <v>-0.0020913648418720773</v>
      </c>
      <c r="F322" s="247">
        <v>-462.01896271613623</v>
      </c>
      <c r="G322" s="246">
        <v>-13180.72934849389</v>
      </c>
      <c r="H322" s="247">
        <v>21143.475000000013</v>
      </c>
      <c r="I322" s="247">
        <v>4300.680999999959</v>
      </c>
      <c r="J322" s="128">
        <v>76358.40993357121</v>
      </c>
    </row>
    <row r="323">
      <c r="A323" s="245">
        <v>43181.0</v>
      </c>
      <c r="B323" s="28">
        <v>-0.06591486064230934</v>
      </c>
      <c r="C323" s="28">
        <v>0.008342626856936467</v>
      </c>
      <c r="D323" s="28">
        <v>-0.05757223378537287</v>
      </c>
      <c r="E323" s="28">
        <v>-0.0056106281447615425</v>
      </c>
      <c r="F323" s="247">
        <v>-1239.48559511418</v>
      </c>
      <c r="G323" s="246">
        <v>-12718.710385777753</v>
      </c>
      <c r="H323" s="247">
        <v>21143.475000000013</v>
      </c>
      <c r="I323" s="247">
        <v>4300.680999999959</v>
      </c>
      <c r="J323" s="128">
        <v>76820.42889628734</v>
      </c>
    </row>
    <row r="324">
      <c r="A324" s="245">
        <v>43180.0</v>
      </c>
      <c r="B324" s="28">
        <v>-0.060313745184955934</v>
      </c>
      <c r="C324" s="28">
        <v>0.008352139544344606</v>
      </c>
      <c r="D324" s="28">
        <v>-0.05196160564061133</v>
      </c>
      <c r="E324" s="28">
        <v>5.749561716450954E-4</v>
      </c>
      <c r="F324" s="247">
        <v>127.01784438191135</v>
      </c>
      <c r="G324" s="246">
        <v>-11479.224790663573</v>
      </c>
      <c r="H324" s="247">
        <v>21143.475000000013</v>
      </c>
      <c r="I324" s="247">
        <v>4300.680999999959</v>
      </c>
      <c r="J324" s="128">
        <v>78059.91449140152</v>
      </c>
    </row>
    <row r="325">
      <c r="A325" s="245">
        <v>43179.0</v>
      </c>
      <c r="B325" s="28">
        <v>-0.06089823576247357</v>
      </c>
      <c r="C325" s="28">
        <v>0.008361673950217145</v>
      </c>
      <c r="D325" s="28">
        <v>-0.052536561812256424</v>
      </c>
      <c r="E325" s="28">
        <v>-0.005905204113598954</v>
      </c>
      <c r="F325" s="247">
        <v>-1304.5625634357548</v>
      </c>
      <c r="G325" s="246">
        <v>-11606.242635045484</v>
      </c>
      <c r="H325" s="247">
        <v>21143.475000000013</v>
      </c>
      <c r="I325" s="247">
        <v>4300.680999999959</v>
      </c>
      <c r="J325" s="128">
        <v>77932.8966470196</v>
      </c>
    </row>
    <row r="326">
      <c r="A326" s="245">
        <v>43178.0</v>
      </c>
      <c r="B326" s="28">
        <v>-0.055002587847674866</v>
      </c>
      <c r="C326" s="28">
        <v>0.008371230149017396</v>
      </c>
      <c r="D326" s="28">
        <v>-0.04663135769865747</v>
      </c>
      <c r="E326" s="28">
        <v>-0.0031699405960622443</v>
      </c>
      <c r="F326" s="247">
        <v>-847.635253498458</v>
      </c>
      <c r="G326" s="246">
        <v>-10301.68007160973</v>
      </c>
      <c r="H326" s="247">
        <v>21143.475000000013</v>
      </c>
      <c r="I326" s="247">
        <v>4300.680999999959</v>
      </c>
      <c r="J326" s="128">
        <v>79237.45921045536</v>
      </c>
    </row>
    <row r="327">
      <c r="A327" s="245">
        <v>43175.0</v>
      </c>
      <c r="B327" s="28">
        <v>-0.05119450091655371</v>
      </c>
      <c r="C327" s="28">
        <v>0.008400030252741079</v>
      </c>
      <c r="D327" s="28">
        <v>-0.04279447066381263</v>
      </c>
      <c r="E327" s="28">
        <v>0.0030032778762239046</v>
      </c>
      <c r="F327" s="247">
        <v>663.4764539118896</v>
      </c>
      <c r="G327" s="246">
        <v>-9454.044818111272</v>
      </c>
      <c r="H327" s="247">
        <v>21143.475000000013</v>
      </c>
      <c r="I327" s="247">
        <v>4300.680999999959</v>
      </c>
      <c r="J327" s="128">
        <v>80085.09446395382</v>
      </c>
    </row>
    <row r="328">
      <c r="A328" s="245">
        <v>43174.0</v>
      </c>
      <c r="B328" s="28">
        <v>-0.05420742291476698</v>
      </c>
      <c r="C328" s="28">
        <v>0.008409674374730449</v>
      </c>
      <c r="D328" s="28">
        <v>-0.045797748540036536</v>
      </c>
      <c r="E328" s="28">
        <v>8.827370097351864E-4</v>
      </c>
      <c r="F328" s="247">
        <v>195.01199858744803</v>
      </c>
      <c r="G328" s="246">
        <v>-10117.521272023161</v>
      </c>
      <c r="H328" s="247">
        <v>21143.475000000013</v>
      </c>
      <c r="I328" s="247">
        <v>4300.680999999959</v>
      </c>
      <c r="J328" s="128">
        <v>79421.61801004193</v>
      </c>
    </row>
    <row r="329">
      <c r="A329" s="245">
        <v>43173.0</v>
      </c>
      <c r="B329" s="28">
        <v>-0.05509982621688692</v>
      </c>
      <c r="C329" s="28">
        <v>0.008419340667115197</v>
      </c>
      <c r="D329" s="28">
        <v>-0.04668048554977172</v>
      </c>
      <c r="E329" s="28">
        <v>-0.0029529054963335494</v>
      </c>
      <c r="F329" s="247">
        <v>-652.3483168023213</v>
      </c>
      <c r="G329" s="246">
        <v>-10312.53327061061</v>
      </c>
      <c r="H329" s="247">
        <v>21143.475000000013</v>
      </c>
      <c r="I329" s="247">
        <v>4300.680999999959</v>
      </c>
      <c r="J329" s="128">
        <v>79226.60601145448</v>
      </c>
    </row>
    <row r="330">
      <c r="A330" s="245">
        <v>43172.0</v>
      </c>
      <c r="B330" s="28">
        <v>-0.05215660925987111</v>
      </c>
      <c r="C330" s="28">
        <v>0.008429029206432934</v>
      </c>
      <c r="D330" s="28">
        <v>-0.04372758005343817</v>
      </c>
      <c r="E330" s="28">
        <v>4.8742107089901066E-4</v>
      </c>
      <c r="F330" s="247">
        <v>107.67981419309035</v>
      </c>
      <c r="G330" s="246">
        <v>-9660.184953808288</v>
      </c>
      <c r="H330" s="247">
        <v>21143.475000000013</v>
      </c>
      <c r="I330" s="247">
        <v>4300.680999999959</v>
      </c>
      <c r="J330" s="128">
        <v>79878.9543282568</v>
      </c>
    </row>
    <row r="331">
      <c r="A331" s="245">
        <v>43171.0</v>
      </c>
      <c r="B331" s="28">
        <v>-0.05265374119391117</v>
      </c>
      <c r="C331" s="28">
        <v>0.008438740069573984</v>
      </c>
      <c r="D331" s="28">
        <v>-0.04421500112433718</v>
      </c>
      <c r="E331" s="28">
        <v>0.0013088807573918768</v>
      </c>
      <c r="F331" s="247">
        <v>801.9291300213044</v>
      </c>
      <c r="G331" s="246">
        <v>-9767.864768001378</v>
      </c>
      <c r="H331" s="247">
        <v>21143.475000000013</v>
      </c>
      <c r="I331" s="247">
        <v>4300.680999999959</v>
      </c>
      <c r="J331" s="128">
        <v>79771.27451406371</v>
      </c>
    </row>
    <row r="332">
      <c r="A332" s="245">
        <v>43168.0</v>
      </c>
      <c r="B332" s="28">
        <v>-0.057090324338989036</v>
      </c>
      <c r="C332" s="28">
        <v>0.009245328509802383</v>
      </c>
      <c r="D332" s="28">
        <v>-0.04784499582918665</v>
      </c>
      <c r="E332" s="28">
        <v>0.011358112933773423</v>
      </c>
      <c r="F332" s="247">
        <v>2509.2052094446117</v>
      </c>
      <c r="G332" s="246">
        <v>-10569.793898022683</v>
      </c>
      <c r="H332" s="247">
        <v>21143.475000000013</v>
      </c>
      <c r="I332" s="247">
        <v>4300.680999999959</v>
      </c>
      <c r="J332" s="128">
        <v>78969.3453840424</v>
      </c>
    </row>
    <row r="333">
      <c r="A333" s="245">
        <v>43167.0</v>
      </c>
      <c r="B333" s="28">
        <v>-0.06845913788446362</v>
      </c>
      <c r="C333" s="28">
        <v>0.009256029121503546</v>
      </c>
      <c r="D333" s="28">
        <v>-0.059203108762960074</v>
      </c>
      <c r="E333" s="28">
        <v>0.006143366465171343</v>
      </c>
      <c r="F333" s="247">
        <v>1357.1767799648078</v>
      </c>
      <c r="G333" s="246">
        <v>-13078.999107467294</v>
      </c>
      <c r="H333" s="247">
        <v>21143.475000000013</v>
      </c>
      <c r="I333" s="247">
        <v>4300.680999999959</v>
      </c>
      <c r="J333" s="128">
        <v>76460.1401745978</v>
      </c>
    </row>
    <row r="334">
      <c r="A334" s="245">
        <v>43166.0</v>
      </c>
      <c r="B334" s="28">
        <v>-0.07461322975997274</v>
      </c>
      <c r="C334" s="28">
        <v>0.009266754531841325</v>
      </c>
      <c r="D334" s="28">
        <v>-0.06534647522813142</v>
      </c>
      <c r="E334" s="28">
        <v>-0.010148587385134494</v>
      </c>
      <c r="F334" s="247">
        <v>-2241.9999240862726</v>
      </c>
      <c r="G334" s="246">
        <v>-14436.175887432102</v>
      </c>
      <c r="H334" s="247">
        <v>21143.475000000013</v>
      </c>
      <c r="I334" s="247">
        <v>4300.680999999959</v>
      </c>
      <c r="J334" s="128">
        <v>75102.96339463299</v>
      </c>
    </row>
    <row r="335">
      <c r="A335" s="245">
        <v>43165.0</v>
      </c>
      <c r="B335" s="28">
        <v>-0.0644753926701188</v>
      </c>
      <c r="C335" s="28">
        <v>0.00927750482712188</v>
      </c>
      <c r="D335" s="28">
        <v>-0.05519788784299692</v>
      </c>
      <c r="E335" s="28">
        <v>0.002013730105337952</v>
      </c>
      <c r="F335" s="247">
        <v>444.86809562394046</v>
      </c>
      <c r="G335" s="246">
        <v>-12194.17596334583</v>
      </c>
      <c r="H335" s="247">
        <v>21143.475000000013</v>
      </c>
      <c r="I335" s="247">
        <v>4300.680999999959</v>
      </c>
      <c r="J335" s="128">
        <v>77344.96331871925</v>
      </c>
    </row>
    <row r="336">
      <c r="A336" s="245">
        <v>43164.0</v>
      </c>
      <c r="B336" s="28">
        <v>-0.06635254671953905</v>
      </c>
      <c r="C336" s="28">
        <v>0.009140928771204173</v>
      </c>
      <c r="D336" s="28">
        <v>-0.057211617948334875</v>
      </c>
      <c r="E336" s="28">
        <v>0.004657630124910266</v>
      </c>
      <c r="F336" s="247">
        <v>-511.33926417262774</v>
      </c>
      <c r="G336" s="246">
        <v>-12639.04405896977</v>
      </c>
      <c r="H336" s="247">
        <v>21143.475000000013</v>
      </c>
      <c r="I336" s="247">
        <v>4300.680999999959</v>
      </c>
      <c r="J336" s="128">
        <v>76900.09522309531</v>
      </c>
    </row>
    <row r="337">
      <c r="A337" s="245">
        <v>43161.0</v>
      </c>
      <c r="B337" s="28">
        <v>-0.0640698909787894</v>
      </c>
      <c r="C337" s="28">
        <v>0.009172890060613977</v>
      </c>
      <c r="D337" s="28">
        <v>-0.054897000918175426</v>
      </c>
      <c r="E337" s="28">
        <v>-0.011344119627592693</v>
      </c>
      <c r="F337" s="247">
        <v>-2506.113844094507</v>
      </c>
      <c r="G337" s="246">
        <v>-12127.704794797142</v>
      </c>
      <c r="H337" s="247">
        <v>21143.475000000013</v>
      </c>
      <c r="I337" s="247">
        <v>4300.680999999959</v>
      </c>
      <c r="J337" s="128">
        <v>77411.43448726794</v>
      </c>
    </row>
    <row r="338">
      <c r="A338" s="245">
        <v>43160.0</v>
      </c>
      <c r="B338" s="28">
        <v>-0.052717981180851886</v>
      </c>
      <c r="C338" s="28">
        <v>0.009165099890269155</v>
      </c>
      <c r="D338" s="28">
        <v>-0.04355288129058273</v>
      </c>
      <c r="E338" s="28">
        <v>-0.0011222091949777482</v>
      </c>
      <c r="F338" s="247">
        <v>-247.91558021507626</v>
      </c>
      <c r="G338" s="246">
        <v>-9621.590950702635</v>
      </c>
      <c r="H338" s="247">
        <v>21143.475000000013</v>
      </c>
      <c r="I338" s="247">
        <v>4300.680999999959</v>
      </c>
      <c r="J338" s="128">
        <v>79917.54833136244</v>
      </c>
    </row>
    <row r="339">
      <c r="A339" s="245">
        <v>43159.0</v>
      </c>
      <c r="B339" s="28">
        <v>-0.05160647887826932</v>
      </c>
      <c r="C339" s="28">
        <v>0.009175806782664334</v>
      </c>
      <c r="D339" s="28">
        <v>-0.042430672095604985</v>
      </c>
      <c r="E339" s="28">
        <v>0.001988152265253715</v>
      </c>
      <c r="F339" s="247">
        <v>439.2175047238561</v>
      </c>
      <c r="G339" s="246">
        <v>-9373.67537048756</v>
      </c>
      <c r="H339" s="247">
        <v>21143.475000000013</v>
      </c>
      <c r="I339" s="247">
        <v>4300.680999999959</v>
      </c>
      <c r="J339" s="128">
        <v>80165.46391157752</v>
      </c>
    </row>
    <row r="340">
      <c r="A340" s="245">
        <v>43158.0</v>
      </c>
      <c r="B340" s="28">
        <v>-0.053605363081280534</v>
      </c>
      <c r="C340" s="28">
        <v>0.009186538720421838</v>
      </c>
      <c r="D340" s="28">
        <v>-0.0444188243608587</v>
      </c>
      <c r="E340" s="28">
        <v>0.005517822053509966</v>
      </c>
      <c r="F340" s="247">
        <v>1218.9831112073498</v>
      </c>
      <c r="G340" s="246">
        <v>-9812.892875211415</v>
      </c>
      <c r="H340" s="247">
        <v>21143.475000000013</v>
      </c>
      <c r="I340" s="247">
        <v>4300.680999999959</v>
      </c>
      <c r="J340" s="128">
        <v>79726.24640685366</v>
      </c>
    </row>
    <row r="341">
      <c r="A341" s="245">
        <v>43157.0</v>
      </c>
      <c r="B341" s="28">
        <v>-0.059133942205891694</v>
      </c>
      <c r="C341" s="28">
        <v>0.00919729579152303</v>
      </c>
      <c r="D341" s="28">
        <v>-0.049936646414368666</v>
      </c>
      <c r="E341" s="28">
        <v>0.0028207521543082703</v>
      </c>
      <c r="F341" s="247">
        <v>2043.3265559317679</v>
      </c>
      <c r="G341" s="246">
        <v>-11031.875986418765</v>
      </c>
      <c r="H341" s="247">
        <v>21143.475000000013</v>
      </c>
      <c r="I341" s="247">
        <v>4300.680999999959</v>
      </c>
      <c r="J341" s="128">
        <v>78507.26329564632</v>
      </c>
    </row>
    <row r="342">
      <c r="A342" s="245">
        <v>43154.0</v>
      </c>
      <c r="B342" s="28">
        <v>-0.06841564200598191</v>
      </c>
      <c r="C342" s="28">
        <v>0.009229718690905603</v>
      </c>
      <c r="D342" s="28">
        <v>-0.05918592331507631</v>
      </c>
      <c r="E342" s="28">
        <v>0.0010277924004986339</v>
      </c>
      <c r="F342" s="247">
        <v>227.05726387789764</v>
      </c>
      <c r="G342" s="246">
        <v>-13075.202542350533</v>
      </c>
      <c r="H342" s="247">
        <v>21143.475000000013</v>
      </c>
      <c r="I342" s="247">
        <v>4300.680999999959</v>
      </c>
      <c r="J342" s="128">
        <v>76463.93673971455</v>
      </c>
    </row>
    <row r="343">
      <c r="A343" s="245">
        <v>43153.0</v>
      </c>
      <c r="B343" s="28">
        <v>-0.06945429289905808</v>
      </c>
      <c r="C343" s="28">
        <v>0.00924057718348314</v>
      </c>
      <c r="D343" s="28">
        <v>-0.06021371571557494</v>
      </c>
      <c r="E343" s="28">
        <v>-0.0015423032694904873</v>
      </c>
      <c r="F343" s="247">
        <v>-340.7216868606447</v>
      </c>
      <c r="G343" s="246">
        <v>-13302.25980622843</v>
      </c>
      <c r="H343" s="247">
        <v>21143.475000000013</v>
      </c>
      <c r="I343" s="247">
        <v>4300.680999999959</v>
      </c>
      <c r="J343" s="128">
        <v>76236.87947583666</v>
      </c>
    </row>
    <row r="344">
      <c r="A344" s="245">
        <v>43152.0</v>
      </c>
      <c r="B344" s="28">
        <v>-0.06792287370163294</v>
      </c>
      <c r="C344" s="28">
        <v>0.009251461255548488</v>
      </c>
      <c r="D344" s="28">
        <v>-0.05867141244608445</v>
      </c>
      <c r="E344" s="28">
        <v>-0.0034017092743802643</v>
      </c>
      <c r="F344" s="247">
        <v>-751.4968975973443</v>
      </c>
      <c r="G344" s="246">
        <v>-12961.538119367786</v>
      </c>
      <c r="H344" s="247">
        <v>21143.475000000013</v>
      </c>
      <c r="I344" s="247">
        <v>4300.680999999959</v>
      </c>
      <c r="J344" s="128">
        <v>76577.6011626973</v>
      </c>
    </row>
    <row r="345">
      <c r="A345" s="245">
        <v>43151.0</v>
      </c>
      <c r="B345" s="28">
        <v>-0.06453207416929932</v>
      </c>
      <c r="C345" s="28">
        <v>0.009262370997595129</v>
      </c>
      <c r="D345" s="28">
        <v>-0.05526970317170419</v>
      </c>
      <c r="E345" s="28">
        <v>0.0031352956569052973</v>
      </c>
      <c r="F345" s="247">
        <v>692.6414837858283</v>
      </c>
      <c r="G345" s="246">
        <v>-12210.041221770442</v>
      </c>
      <c r="H345" s="247">
        <v>21143.475000000013</v>
      </c>
      <c r="I345" s="247">
        <v>4300.680999999959</v>
      </c>
      <c r="J345" s="128">
        <v>77329.09806029465</v>
      </c>
    </row>
    <row r="346">
      <c r="A346" s="245">
        <v>43150.0</v>
      </c>
      <c r="B346" s="28">
        <v>-0.06767830532915337</v>
      </c>
      <c r="C346" s="28">
        <v>0.00927330650054388</v>
      </c>
      <c r="D346" s="28">
        <v>-0.058404998828609486</v>
      </c>
      <c r="E346" s="28">
        <v>5.131884333177475E-4</v>
      </c>
      <c r="F346" s="247">
        <v>1886.4522627642255</v>
      </c>
      <c r="G346" s="246">
        <v>-12902.68270555627</v>
      </c>
      <c r="H346" s="247">
        <v>21143.475000000013</v>
      </c>
      <c r="I346" s="247">
        <v>4300.680999999959</v>
      </c>
      <c r="J346" s="128">
        <v>76636.45657650882</v>
      </c>
    </row>
    <row r="347">
      <c r="A347" s="245">
        <v>43147.0</v>
      </c>
      <c r="B347" s="28">
        <v>-0.07625044050587632</v>
      </c>
      <c r="C347" s="28">
        <v>0.009306268490474723</v>
      </c>
      <c r="D347" s="28">
        <v>-0.06694417201540159</v>
      </c>
      <c r="E347" s="28">
        <v>0.00499508825352582</v>
      </c>
      <c r="F347" s="247">
        <v>1103.502099377225</v>
      </c>
      <c r="G347" s="246">
        <v>-14789.134968320495</v>
      </c>
      <c r="H347" s="247">
        <v>21143.475000000013</v>
      </c>
      <c r="I347" s="247">
        <v>4300.680999999959</v>
      </c>
      <c r="J347" s="128">
        <v>74750.00431374459</v>
      </c>
    </row>
    <row r="348">
      <c r="A348" s="245">
        <v>43146.0</v>
      </c>
      <c r="B348" s="28">
        <v>-0.08125656822380366</v>
      </c>
      <c r="C348" s="28">
        <v>0.009317307954876237</v>
      </c>
      <c r="D348" s="28">
        <v>-0.07193926026892741</v>
      </c>
      <c r="E348" s="28">
        <v>-0.005120239824486741</v>
      </c>
      <c r="F348" s="247">
        <v>-1131.1502637911872</v>
      </c>
      <c r="G348" s="246">
        <v>-15892.63706769772</v>
      </c>
      <c r="H348" s="247">
        <v>21143.475000000013</v>
      </c>
      <c r="I348" s="247">
        <v>4300.680999999959</v>
      </c>
      <c r="J348" s="128">
        <v>73646.50221436737</v>
      </c>
    </row>
    <row r="349">
      <c r="A349" s="245">
        <v>43145.0</v>
      </c>
      <c r="B349" s="28">
        <v>-0.07614739408572413</v>
      </c>
      <c r="C349" s="28">
        <v>0.00932837364128346</v>
      </c>
      <c r="D349" s="28">
        <v>-0.06681902044444067</v>
      </c>
      <c r="E349" s="28">
        <v>0.006003051635650167</v>
      </c>
      <c r="F349" s="247">
        <v>1326.1787873185167</v>
      </c>
      <c r="G349" s="246">
        <v>-14761.486803906533</v>
      </c>
      <c r="H349" s="247">
        <v>21143.475000000013</v>
      </c>
      <c r="I349" s="247">
        <v>4300.680999999959</v>
      </c>
      <c r="J349" s="128">
        <v>74777.65247815856</v>
      </c>
    </row>
    <row r="350">
      <c r="A350" s="245">
        <v>43144.0</v>
      </c>
      <c r="B350" s="28">
        <v>-0.08216153772332588</v>
      </c>
      <c r="C350" s="28">
        <v>0.009339465643235042</v>
      </c>
      <c r="D350" s="28">
        <v>-0.07282207208009084</v>
      </c>
      <c r="E350" s="28">
        <v>-0.004951324002474777</v>
      </c>
      <c r="F350" s="247">
        <v>-1093.8338131605778</v>
      </c>
      <c r="G350" s="246">
        <v>-16087.66559122505</v>
      </c>
      <c r="H350" s="247">
        <v>21143.475000000013</v>
      </c>
      <c r="I350" s="247">
        <v>4300.680999999959</v>
      </c>
      <c r="J350" s="128">
        <v>73451.47369084004</v>
      </c>
    </row>
    <row r="351">
      <c r="A351" s="245">
        <v>43143.0</v>
      </c>
      <c r="B351" s="28">
        <v>-0.07706953151007957</v>
      </c>
      <c r="C351" s="28">
        <v>0.009198783432463515</v>
      </c>
      <c r="D351" s="28">
        <v>-0.06787074807761606</v>
      </c>
      <c r="E351" s="28">
        <v>0.009077961553909983</v>
      </c>
      <c r="F351" s="247">
        <v>441.9923338653589</v>
      </c>
      <c r="G351" s="246">
        <v>-14993.831778064472</v>
      </c>
      <c r="H351" s="247">
        <v>22000.87500000001</v>
      </c>
      <c r="I351" s="247">
        <v>4835.176698924687</v>
      </c>
      <c r="J351" s="128">
        <v>74545.30750400061</v>
      </c>
    </row>
    <row r="352">
      <c r="A352" s="245">
        <v>43140.0</v>
      </c>
      <c r="B352" s="28">
        <v>-0.07910321480563388</v>
      </c>
      <c r="C352" s="28">
        <v>0.009231753982400661</v>
      </c>
      <c r="D352" s="28">
        <v>-0.06987146082323323</v>
      </c>
      <c r="E352" s="28">
        <v>-0.01098078549344686</v>
      </c>
      <c r="F352" s="247">
        <v>-2425.846998053834</v>
      </c>
      <c r="G352" s="246">
        <v>-15435.82411192983</v>
      </c>
      <c r="H352" s="247">
        <v>22000.87500000001</v>
      </c>
      <c r="I352" s="247">
        <v>4835.176698924687</v>
      </c>
      <c r="J352" s="128">
        <v>74103.31517013525</v>
      </c>
    </row>
    <row r="353">
      <c r="A353" s="245">
        <v>43139.0</v>
      </c>
      <c r="B353" s="28">
        <v>-0.06813347208010856</v>
      </c>
      <c r="C353" s="28">
        <v>0.009242796750322193</v>
      </c>
      <c r="D353" s="28">
        <v>-0.05889067532978637</v>
      </c>
      <c r="E353" s="28">
        <v>0.0012088648859239423</v>
      </c>
      <c r="F353" s="247">
        <v>267.05933344398363</v>
      </c>
      <c r="G353" s="246">
        <v>-13009.977113875997</v>
      </c>
      <c r="H353" s="247">
        <v>22000.87500000001</v>
      </c>
      <c r="I353" s="247">
        <v>4835.176698924687</v>
      </c>
      <c r="J353" s="128">
        <v>76529.16216818908</v>
      </c>
    </row>
    <row r="354">
      <c r="A354" s="245">
        <v>43138.0</v>
      </c>
      <c r="B354" s="28">
        <v>-0.06935340618369756</v>
      </c>
      <c r="C354" s="28">
        <v>0.009253865967987251</v>
      </c>
      <c r="D354" s="28">
        <v>-0.06009954021571031</v>
      </c>
      <c r="E354" s="28">
        <v>0.009562130320204872</v>
      </c>
      <c r="F354" s="247">
        <v>2112.4413318256393</v>
      </c>
      <c r="G354" s="246">
        <v>-13277.03644731998</v>
      </c>
      <c r="H354" s="247">
        <v>22000.87500000001</v>
      </c>
      <c r="I354" s="247">
        <v>4835.176698924687</v>
      </c>
      <c r="J354" s="128">
        <v>76262.1028347451</v>
      </c>
    </row>
    <row r="355">
      <c r="A355" s="245">
        <v>43137.0</v>
      </c>
      <c r="B355" s="28">
        <v>-0.07892663226645398</v>
      </c>
      <c r="C355" s="28">
        <v>0.009264961730538793</v>
      </c>
      <c r="D355" s="28">
        <v>-0.06966167053591518</v>
      </c>
      <c r="E355" s="28">
        <v>-0.012749908743572513</v>
      </c>
      <c r="F355" s="247">
        <v>-2816.6771739156356</v>
      </c>
      <c r="G355" s="246">
        <v>-15389.47777914562</v>
      </c>
      <c r="H355" s="247">
        <v>22000.87500000001</v>
      </c>
      <c r="I355" s="247">
        <v>4835.176698924687</v>
      </c>
      <c r="J355" s="128">
        <v>74149.66150291947</v>
      </c>
    </row>
    <row r="356">
      <c r="A356" s="245">
        <v>43136.0</v>
      </c>
      <c r="B356" s="28">
        <v>-0.06635922179181371</v>
      </c>
      <c r="C356" s="28">
        <v>0.00944745999947104</v>
      </c>
      <c r="D356" s="28">
        <v>-0.05691176179234267</v>
      </c>
      <c r="E356" s="28">
        <v>-0.00982309124302351</v>
      </c>
      <c r="F356" s="247">
        <v>-3421.936725621128</v>
      </c>
      <c r="G356" s="246">
        <v>-12572.800605229984</v>
      </c>
      <c r="H356" s="247">
        <v>24916.05100000001</v>
      </c>
      <c r="I356" s="247">
        <v>6441.513931899588</v>
      </c>
      <c r="J356" s="128">
        <v>76966.3386768351</v>
      </c>
    </row>
    <row r="357">
      <c r="A357" s="245">
        <v>43133.0</v>
      </c>
      <c r="B357" s="28">
        <v>-0.051776280570347465</v>
      </c>
      <c r="C357" s="28">
        <v>0.010354182052868786</v>
      </c>
      <c r="D357" s="28">
        <v>-0.041422098517478675</v>
      </c>
      <c r="E357" s="28">
        <v>-0.017979088891415702</v>
      </c>
      <c r="F357" s="247">
        <v>-3971.894254833789</v>
      </c>
      <c r="G357" s="246">
        <v>-9150.863879608856</v>
      </c>
      <c r="H357" s="247">
        <v>24916.05100000001</v>
      </c>
      <c r="I357" s="247">
        <v>6441.513931899588</v>
      </c>
      <c r="J357" s="128">
        <v>80388.27540245623</v>
      </c>
    </row>
    <row r="358">
      <c r="A358" s="245">
        <v>43132.0</v>
      </c>
      <c r="B358" s="28">
        <v>-0.03378770573765816</v>
      </c>
      <c r="C358" s="28">
        <v>0.010344696111595187</v>
      </c>
      <c r="D358" s="28">
        <v>-0.023443009626062973</v>
      </c>
      <c r="E358" s="28">
        <v>0.00397752861563818</v>
      </c>
      <c r="F358" s="247">
        <v>878.7054311986494</v>
      </c>
      <c r="G358" s="246">
        <v>-5178.969624775067</v>
      </c>
      <c r="H358" s="247">
        <v>24916.05100000001</v>
      </c>
      <c r="I358" s="247">
        <v>6441.513931899588</v>
      </c>
      <c r="J358" s="128">
        <v>84360.16965729003</v>
      </c>
    </row>
    <row r="359">
      <c r="A359" s="245">
        <v>43131.0</v>
      </c>
      <c r="B359" s="28">
        <v>-0.03777772794763402</v>
      </c>
      <c r="C359" s="28">
        <v>0.010357189705932864</v>
      </c>
      <c r="D359" s="28">
        <v>-0.027420538241701153</v>
      </c>
      <c r="E359" s="28">
        <v>-0.00845585324111512</v>
      </c>
      <c r="F359" s="247">
        <v>-1868.045433833896</v>
      </c>
      <c r="G359" s="246">
        <v>-6057.675055973717</v>
      </c>
      <c r="H359" s="247">
        <v>24916.05100000001</v>
      </c>
      <c r="I359" s="247">
        <v>6441.513931899588</v>
      </c>
      <c r="J359" s="128">
        <v>83481.46422609138</v>
      </c>
    </row>
    <row r="360">
      <c r="A360" s="245">
        <v>43130.0</v>
      </c>
      <c r="B360" s="28">
        <v>-0.029334398515111316</v>
      </c>
      <c r="C360" s="28">
        <v>0.010369713514525284</v>
      </c>
      <c r="D360" s="28">
        <v>-0.018964685000586033</v>
      </c>
      <c r="E360" s="28">
        <v>-0.01144108301393907</v>
      </c>
      <c r="F360" s="247">
        <v>-2527.5347469825438</v>
      </c>
      <c r="G360" s="246">
        <v>-4189.629622139821</v>
      </c>
      <c r="H360" s="247">
        <v>24916.05100000001</v>
      </c>
      <c r="I360" s="247">
        <v>6441.513931899588</v>
      </c>
      <c r="J360" s="128">
        <v>85349.50965992527</v>
      </c>
    </row>
    <row r="361">
      <c r="A361" s="245">
        <v>43129.0</v>
      </c>
      <c r="B361" s="28">
        <v>-0.01790586963375642</v>
      </c>
      <c r="C361" s="28">
        <v>0.010382267647109457</v>
      </c>
      <c r="D361" s="28">
        <v>-0.007523601986646963</v>
      </c>
      <c r="E361" s="28">
        <v>0.004894922610479259</v>
      </c>
      <c r="F361" s="247">
        <v>1911.0958692383194</v>
      </c>
      <c r="G361" s="246">
        <v>-1662.0948751572766</v>
      </c>
      <c r="H361" s="247">
        <v>24916.05100000001</v>
      </c>
      <c r="I361" s="247">
        <v>6441.513931899588</v>
      </c>
      <c r="J361" s="128">
        <v>87877.04440690782</v>
      </c>
    </row>
    <row r="362">
      <c r="A362" s="245">
        <v>43126.0</v>
      </c>
      <c r="B362" s="28">
        <v>-0.026594439472909726</v>
      </c>
      <c r="C362" s="28">
        <v>0.010420113094182759</v>
      </c>
      <c r="D362" s="28">
        <v>-0.01617432637872697</v>
      </c>
      <c r="E362" s="28">
        <v>1.214295605409324E-4</v>
      </c>
      <c r="F362" s="247">
        <v>26.825907407900104</v>
      </c>
      <c r="G362" s="246">
        <v>-3573.190744395596</v>
      </c>
      <c r="H362" s="247">
        <v>21912.422000000002</v>
      </c>
      <c r="I362" s="247">
        <v>5230.362347670216</v>
      </c>
      <c r="J362" s="128">
        <v>85965.94853766951</v>
      </c>
    </row>
    <row r="363">
      <c r="A363" s="245">
        <v>43125.0</v>
      </c>
      <c r="B363" s="28">
        <v>-0.026728545570061574</v>
      </c>
      <c r="C363" s="28">
        <v>0.010432789630793672</v>
      </c>
      <c r="D363" s="28">
        <v>-0.0162957559392679</v>
      </c>
      <c r="E363" s="28">
        <v>-0.006808750523827291</v>
      </c>
      <c r="F363" s="247">
        <v>-1504.171721465732</v>
      </c>
      <c r="G363" s="246">
        <v>-3600.016651803496</v>
      </c>
      <c r="H363" s="247">
        <v>21912.422000000002</v>
      </c>
      <c r="I363" s="247">
        <v>5230.362347670216</v>
      </c>
      <c r="J363" s="128">
        <v>85939.12263026161</v>
      </c>
    </row>
    <row r="364">
      <c r="A364" s="245">
        <v>43124.0</v>
      </c>
      <c r="B364" s="28">
        <v>-0.019932502463567772</v>
      </c>
      <c r="C364" s="28">
        <v>0.010445497048127162</v>
      </c>
      <c r="D364" s="28">
        <v>-0.00948700541544061</v>
      </c>
      <c r="E364" s="28">
        <v>-0.003003481906397428</v>
      </c>
      <c r="F364" s="247">
        <v>-663.5215277350931</v>
      </c>
      <c r="G364" s="246">
        <v>-2095.8449303377643</v>
      </c>
      <c r="H364" s="247">
        <v>21912.422000000002</v>
      </c>
      <c r="I364" s="247">
        <v>5230.362347670216</v>
      </c>
      <c r="J364" s="128">
        <v>87443.29435172734</v>
      </c>
    </row>
    <row r="365">
      <c r="A365" s="245">
        <v>43123.0</v>
      </c>
      <c r="B365" s="28">
        <v>-0.016941758968204646</v>
      </c>
      <c r="C365" s="28">
        <v>0.010458235459161464</v>
      </c>
      <c r="D365" s="28">
        <v>-0.006483523509043182</v>
      </c>
      <c r="E365" s="28">
        <v>0.0061831634309918206</v>
      </c>
      <c r="F365" s="247">
        <v>1365.9686236926432</v>
      </c>
      <c r="G365" s="246">
        <v>-1432.3234026026712</v>
      </c>
      <c r="H365" s="247">
        <v>21912.422000000002</v>
      </c>
      <c r="I365" s="247">
        <v>5230.362347670216</v>
      </c>
      <c r="J365" s="128">
        <v>88106.81587946243</v>
      </c>
    </row>
    <row r="366">
      <c r="A366" s="245">
        <v>43122.0</v>
      </c>
      <c r="B366" s="28">
        <v>-0.023137691917461622</v>
      </c>
      <c r="C366" s="28">
        <v>0.01047100497742662</v>
      </c>
      <c r="D366" s="28">
        <v>-0.012666686940035003</v>
      </c>
      <c r="E366" s="28">
        <v>-0.0023324226484408867</v>
      </c>
      <c r="F366" s="247">
        <v>-170.02017580187385</v>
      </c>
      <c r="G366" s="246">
        <v>-2798.2920262953144</v>
      </c>
      <c r="H366" s="247">
        <v>21912.422000000002</v>
      </c>
      <c r="I366" s="247">
        <v>5230.362347670216</v>
      </c>
      <c r="J366" s="128">
        <v>86740.84725576978</v>
      </c>
    </row>
    <row r="367">
      <c r="A367" s="245">
        <v>43119.0</v>
      </c>
      <c r="B367" s="28">
        <v>-0.02240657868311503</v>
      </c>
      <c r="C367" s="28">
        <v>0.010509501319255396</v>
      </c>
      <c r="D367" s="28">
        <v>-0.011897077363859634</v>
      </c>
      <c r="E367" s="28">
        <v>-0.009464709511901866</v>
      </c>
      <c r="F367" s="247">
        <v>-2090.9193764508736</v>
      </c>
      <c r="G367" s="246">
        <v>-2628.2718504934405</v>
      </c>
      <c r="H367" s="247">
        <v>21912.422000000002</v>
      </c>
      <c r="I367" s="247">
        <v>5230.362347670216</v>
      </c>
      <c r="J367" s="128">
        <v>86910.86743157165</v>
      </c>
    </row>
    <row r="368">
      <c r="A368" s="245">
        <v>43118.0</v>
      </c>
      <c r="B368" s="28">
        <v>-0.012954764264856419</v>
      </c>
      <c r="C368" s="28">
        <v>0.01052239641289865</v>
      </c>
      <c r="D368" s="28">
        <v>-0.0024323678519577677</v>
      </c>
      <c r="E368" s="28">
        <v>0.0028866636847889315</v>
      </c>
      <c r="F368" s="247">
        <v>637.7143455097341</v>
      </c>
      <c r="G368" s="246">
        <v>-537.3524740425671</v>
      </c>
      <c r="H368" s="247">
        <v>21912.422000000002</v>
      </c>
      <c r="I368" s="247">
        <v>5230.362347670216</v>
      </c>
      <c r="J368" s="128">
        <v>89001.78680802252</v>
      </c>
    </row>
    <row r="369">
      <c r="A369" s="245">
        <v>43117.0</v>
      </c>
      <c r="B369" s="28">
        <v>-0.015854354726565375</v>
      </c>
      <c r="C369" s="28">
        <v>0.010535323189818676</v>
      </c>
      <c r="D369" s="28">
        <v>-0.005319031536746699</v>
      </c>
      <c r="E369" s="28">
        <v>-0.001801992358780525</v>
      </c>
      <c r="F369" s="247">
        <v>-398.09153513402407</v>
      </c>
      <c r="G369" s="246">
        <v>-1175.0668195523012</v>
      </c>
      <c r="H369" s="247">
        <v>21912.422000000002</v>
      </c>
      <c r="I369" s="247">
        <v>5230.362347670216</v>
      </c>
      <c r="J369" s="128">
        <v>88364.07246251278</v>
      </c>
    </row>
    <row r="370">
      <c r="A370" s="245">
        <v>43116.0</v>
      </c>
      <c r="B370" s="28">
        <v>-0.014065320944894094</v>
      </c>
      <c r="C370" s="28">
        <v>0.01054828176692792</v>
      </c>
      <c r="D370" s="28">
        <v>-0.0035170391779661744</v>
      </c>
      <c r="E370" s="28">
        <v>0.006084692370555098</v>
      </c>
      <c r="F370" s="247">
        <v>1344.214649307281</v>
      </c>
      <c r="G370" s="246">
        <v>-776.9752844182772</v>
      </c>
      <c r="H370" s="247">
        <v>21912.422000000002</v>
      </c>
      <c r="I370" s="247">
        <v>5230.362347670216</v>
      </c>
      <c r="J370" s="128">
        <v>88762.1639976468</v>
      </c>
    </row>
    <row r="371">
      <c r="A371" s="245">
        <v>43115.0</v>
      </c>
      <c r="B371" s="28">
        <v>-0.02016300381023605</v>
      </c>
      <c r="C371" s="28">
        <v>0.010561272261714778</v>
      </c>
      <c r="D371" s="28">
        <v>-0.009601731548521272</v>
      </c>
      <c r="E371" s="28">
        <v>-0.006048168646375559</v>
      </c>
      <c r="F371" s="247">
        <v>-1774.4904902783935</v>
      </c>
      <c r="G371" s="246">
        <v>-2121.189933725558</v>
      </c>
      <c r="H371" s="247">
        <v>20052.507000000012</v>
      </c>
      <c r="I371" s="247">
        <v>4553.879068100335</v>
      </c>
      <c r="J371" s="128">
        <v>87417.94934833952</v>
      </c>
    </row>
    <row r="372">
      <c r="A372" s="245">
        <v>43112.0</v>
      </c>
      <c r="B372" s="28">
        <v>-0.01216979848629027</v>
      </c>
      <c r="C372" s="28">
        <v>0.010600436435738455</v>
      </c>
      <c r="D372" s="28">
        <v>-0.001569362050551814</v>
      </c>
      <c r="E372" s="28">
        <v>-0.007429231010720979</v>
      </c>
      <c r="F372" s="247">
        <v>-1641.246680937466</v>
      </c>
      <c r="G372" s="246">
        <v>-346.6994434471647</v>
      </c>
      <c r="H372" s="247">
        <v>20052.507000000012</v>
      </c>
      <c r="I372" s="247">
        <v>4553.879068100335</v>
      </c>
      <c r="J372" s="128">
        <v>89192.43983861791</v>
      </c>
    </row>
    <row r="373">
      <c r="A373" s="245">
        <v>43111.0</v>
      </c>
      <c r="B373" s="28">
        <v>-0.004753686827593719</v>
      </c>
      <c r="C373" s="28">
        <v>0.010613555787762885</v>
      </c>
      <c r="D373" s="28">
        <v>0.005859868960169165</v>
      </c>
      <c r="E373" s="28">
        <v>0.003904474473646639</v>
      </c>
      <c r="F373" s="247">
        <v>862.5664973171581</v>
      </c>
      <c r="G373" s="246">
        <v>1294.5472374903013</v>
      </c>
      <c r="H373" s="247">
        <v>20052.507000000012</v>
      </c>
      <c r="I373" s="247">
        <v>4553.879068100335</v>
      </c>
      <c r="J373" s="128">
        <v>90833.68651955537</v>
      </c>
    </row>
    <row r="374">
      <c r="A374" s="245">
        <v>43110.0</v>
      </c>
      <c r="B374" s="28">
        <v>-0.01244150755657043</v>
      </c>
      <c r="C374" s="28">
        <v>0.014396902043092956</v>
      </c>
      <c r="D374" s="28">
        <v>0.0019553944865225263</v>
      </c>
      <c r="E374" s="28">
        <v>-0.019226307520615923</v>
      </c>
      <c r="F374" s="247">
        <v>-4247.42659897873</v>
      </c>
      <c r="G374" s="246">
        <v>431.98074017314315</v>
      </c>
      <c r="H374" s="247">
        <v>20052.507000000012</v>
      </c>
      <c r="I374" s="247">
        <v>4553.879068100335</v>
      </c>
      <c r="J374" s="128">
        <v>89971.12002223822</v>
      </c>
    </row>
    <row r="375">
      <c r="A375" s="245">
        <v>43109.0</v>
      </c>
      <c r="B375" s="28">
        <v>0.006766937802701712</v>
      </c>
      <c r="C375" s="28">
        <v>0.014414764204436738</v>
      </c>
      <c r="D375" s="28">
        <v>0.02118170200713845</v>
      </c>
      <c r="E375" s="28">
        <v>0.0074392918560309915</v>
      </c>
      <c r="F375" s="247">
        <v>1643.469297107114</v>
      </c>
      <c r="G375" s="246">
        <v>4679.407339151873</v>
      </c>
      <c r="H375" s="247">
        <v>20052.507000000012</v>
      </c>
      <c r="I375" s="247">
        <v>4553.879068100335</v>
      </c>
      <c r="J375" s="128">
        <v>94218.54662121694</v>
      </c>
    </row>
    <row r="376">
      <c r="A376" s="245">
        <v>43108.0</v>
      </c>
      <c r="B376" s="28">
        <v>-6.902605927136814E-4</v>
      </c>
      <c r="C376" s="28">
        <v>0.01443267074382114</v>
      </c>
      <c r="D376" s="28">
        <v>0.013742410151107458</v>
      </c>
      <c r="E376" s="28">
        <v>0.004176364945733781</v>
      </c>
      <c r="F376" s="247">
        <v>1664.9952222683391</v>
      </c>
      <c r="G376" s="246">
        <v>3035.938042044759</v>
      </c>
      <c r="H376" s="247">
        <v>20052.507000000012</v>
      </c>
      <c r="I376" s="247">
        <v>4553.879068100335</v>
      </c>
      <c r="J376" s="128">
        <v>92575.07732410982</v>
      </c>
    </row>
    <row r="377">
      <c r="A377" s="245">
        <v>43105.0</v>
      </c>
      <c r="B377" s="28">
        <v>-0.004289242968707136</v>
      </c>
      <c r="C377" s="28">
        <v>0.011238350198350263</v>
      </c>
      <c r="D377" s="28">
        <v>0.006205679517225667</v>
      </c>
      <c r="E377" s="28">
        <v>8.22467505142057E-4</v>
      </c>
      <c r="F377" s="247">
        <v>181.69741404532238</v>
      </c>
      <c r="G377" s="246">
        <v>1370.94281977642</v>
      </c>
      <c r="H377" s="247">
        <v>20052.507000000012</v>
      </c>
      <c r="I377" s="247">
        <v>4553.879068100335</v>
      </c>
      <c r="J377" s="128">
        <v>90910.08210184149</v>
      </c>
    </row>
    <row r="378">
      <c r="A378" s="245">
        <v>43104.0</v>
      </c>
      <c r="B378" s="28">
        <v>-0.0058551381862666525</v>
      </c>
      <c r="C378" s="28">
        <v>0.011238350198350263</v>
      </c>
      <c r="D378" s="28">
        <v>0.00538321201208361</v>
      </c>
      <c r="E378" s="28">
        <v>7.660046549844406E-4</v>
      </c>
      <c r="F378" s="247">
        <v>169.22378584830892</v>
      </c>
      <c r="G378" s="246">
        <v>1189.2454057310977</v>
      </c>
      <c r="H378" s="247">
        <v>20052.507000000012</v>
      </c>
      <c r="I378" s="247">
        <v>4553.879068100335</v>
      </c>
      <c r="J378" s="128">
        <v>90728.38468779616</v>
      </c>
    </row>
    <row r="379">
      <c r="A379" s="245">
        <v>43103.0</v>
      </c>
      <c r="B379" s="28">
        <v>-0.006635190778999029</v>
      </c>
      <c r="C379" s="28">
        <v>0.011252398136098199</v>
      </c>
      <c r="D379" s="28">
        <v>0.00461720735709917</v>
      </c>
      <c r="E379" s="28">
        <v>8.151694367468237E-4</v>
      </c>
      <c r="F379" s="247">
        <v>180.0851434733553</v>
      </c>
      <c r="G379" s="246">
        <v>1020.0216198827887</v>
      </c>
      <c r="H379" s="247">
        <v>20052.507000000012</v>
      </c>
      <c r="I379" s="247">
        <v>4553.879068100335</v>
      </c>
      <c r="J379" s="128">
        <v>90559.16090194785</v>
      </c>
    </row>
    <row r="380">
      <c r="A380" s="245">
        <v>43102.0</v>
      </c>
      <c r="B380" s="28">
        <v>-0.007440526702320916</v>
      </c>
      <c r="C380" s="28">
        <v>0.011242564622673262</v>
      </c>
      <c r="D380" s="28">
        <v>0.003802037920352346</v>
      </c>
      <c r="E380" s="28">
        <v>-0.005132939574058901</v>
      </c>
      <c r="F380" s="247">
        <v>-1040.3817251072937</v>
      </c>
      <c r="G380" s="246">
        <v>839.9364764094335</v>
      </c>
      <c r="H380" s="247">
        <v>20052.507000000012</v>
      </c>
      <c r="I380" s="247">
        <v>4553.879068100335</v>
      </c>
      <c r="J380" s="128">
        <v>90379.0757584745</v>
      </c>
    </row>
    <row r="381">
      <c r="A381" s="245">
        <v>43098.0</v>
      </c>
      <c r="B381" s="28">
        <v>-0.0027806444335445445</v>
      </c>
      <c r="C381" s="28">
        <v>0.011292051314045905</v>
      </c>
      <c r="D381" s="28">
        <v>0.00851140688050136</v>
      </c>
      <c r="E381" s="28">
        <v>-0.0021908200824071536</v>
      </c>
      <c r="F381" s="247">
        <v>-483.9903596473223</v>
      </c>
      <c r="G381" s="246">
        <v>1880.3182015167272</v>
      </c>
      <c r="H381" s="247">
        <v>20052.507000000012</v>
      </c>
      <c r="I381" s="247">
        <v>4553.879068100335</v>
      </c>
      <c r="J381" s="128">
        <v>91419.45748358179</v>
      </c>
    </row>
    <row r="382">
      <c r="A382" s="245">
        <v>43097.0</v>
      </c>
      <c r="B382" s="28">
        <v>-6.040460782331649E-4</v>
      </c>
      <c r="C382" s="28">
        <v>0.011306273041141679</v>
      </c>
      <c r="D382" s="28">
        <v>0.010702226962908514</v>
      </c>
      <c r="E382" s="28">
        <v>0.005083803237135391</v>
      </c>
      <c r="F382" s="247">
        <v>1123.1007862653437</v>
      </c>
      <c r="G382" s="246">
        <v>2364.3085611640495</v>
      </c>
      <c r="H382" s="247">
        <v>20052.507000000012</v>
      </c>
      <c r="I382" s="247">
        <v>4553.879068100335</v>
      </c>
      <c r="J382" s="128">
        <v>91903.4478432291</v>
      </c>
    </row>
    <row r="383">
      <c r="A383" s="245">
        <v>43096.0</v>
      </c>
      <c r="B383" s="28">
        <v>-0.0057021069106285086</v>
      </c>
      <c r="C383" s="28">
        <v>0.011320530636401632</v>
      </c>
      <c r="D383" s="28">
        <v>0.005618423725773123</v>
      </c>
      <c r="E383" s="28">
        <v>-0.004550267042902571</v>
      </c>
      <c r="F383" s="247">
        <v>-741.102705382887</v>
      </c>
      <c r="G383" s="246">
        <v>1241.2077748987058</v>
      </c>
      <c r="H383" s="247">
        <v>20052.507000000012</v>
      </c>
      <c r="I383" s="247">
        <v>4553.879068100335</v>
      </c>
      <c r="J383" s="128">
        <v>90780.34705696376</v>
      </c>
    </row>
    <row r="384">
      <c r="A384" s="245">
        <v>43091.0</v>
      </c>
      <c r="B384" s="28">
        <v>-0.0017263091043883386</v>
      </c>
      <c r="C384" s="28">
        <v>0.010699391983418594</v>
      </c>
      <c r="D384" s="28">
        <v>0.008973082879030255</v>
      </c>
      <c r="E384" s="28">
        <v>0.009479068170680116</v>
      </c>
      <c r="F384" s="247">
        <v>2094.0914545607757</v>
      </c>
      <c r="G384" s="246">
        <v>1982.3104802815928</v>
      </c>
      <c r="H384" s="247">
        <v>20052.507000000012</v>
      </c>
      <c r="I384" s="247">
        <v>4553.879068100335</v>
      </c>
      <c r="J384" s="128">
        <v>91521.44976234665</v>
      </c>
    </row>
    <row r="385">
      <c r="A385" s="245">
        <v>43090.0</v>
      </c>
      <c r="B385" s="28">
        <v>-0.011218972436419691</v>
      </c>
      <c r="C385" s="28">
        <v>0.01071298714476983</v>
      </c>
      <c r="D385" s="28">
        <v>-5.05985291649861E-4</v>
      </c>
      <c r="E385" s="28">
        <v>-0.015673655115578618</v>
      </c>
      <c r="F385" s="247">
        <v>-3462.5837316782386</v>
      </c>
      <c r="G385" s="246">
        <v>-111.78097427918294</v>
      </c>
      <c r="H385" s="247">
        <v>20152.059000000016</v>
      </c>
      <c r="I385" s="247">
        <v>4597.460989247287</v>
      </c>
      <c r="J385" s="128">
        <v>89427.35830778586</v>
      </c>
    </row>
    <row r="386">
      <c r="A386" s="245">
        <v>43089.0</v>
      </c>
      <c r="B386" s="28">
        <v>0.004441052924521815</v>
      </c>
      <c r="C386" s="28">
        <v>0.01072661689940694</v>
      </c>
      <c r="D386" s="28">
        <v>0.015167669823928757</v>
      </c>
      <c r="E386" s="28">
        <v>-0.01608626938050253</v>
      </c>
      <c r="F386" s="247">
        <v>-3553.737417952978</v>
      </c>
      <c r="G386" s="246">
        <v>3350.8027573990557</v>
      </c>
      <c r="H386" s="247">
        <v>20018.009000000013</v>
      </c>
      <c r="I386" s="247">
        <v>4597.460989247287</v>
      </c>
      <c r="J386" s="128">
        <v>92889.9420394641</v>
      </c>
    </row>
    <row r="387">
      <c r="A387" s="245">
        <v>43088.0</v>
      </c>
      <c r="B387" s="28">
        <v>0.02051365782489772</v>
      </c>
      <c r="C387" s="28">
        <v>0.010740281379533567</v>
      </c>
      <c r="D387" s="28">
        <v>0.031253939204431286</v>
      </c>
      <c r="E387" s="28">
        <v>-0.0037120225860544087</v>
      </c>
      <c r="F387" s="247">
        <v>-820.050519378784</v>
      </c>
      <c r="G387" s="246">
        <v>6904.540175352034</v>
      </c>
      <c r="H387" s="247">
        <v>20018.009000000013</v>
      </c>
      <c r="I387" s="247">
        <v>4597.460989247287</v>
      </c>
      <c r="J387" s="128">
        <v>96443.67945741708</v>
      </c>
    </row>
    <row r="388">
      <c r="A388" s="245">
        <v>43087.0</v>
      </c>
      <c r="B388" s="28">
        <v>0.024211981072457825</v>
      </c>
      <c r="C388" s="28">
        <v>0.010753980718027873</v>
      </c>
      <c r="D388" s="28">
        <v>0.034965961790485695</v>
      </c>
      <c r="E388" s="28">
        <v>-0.005952208502418635</v>
      </c>
      <c r="F388" s="247">
        <v>1377.176444570363</v>
      </c>
      <c r="G388" s="246">
        <v>7724.590694730818</v>
      </c>
      <c r="H388" s="247">
        <v>20018.009000000013</v>
      </c>
      <c r="I388" s="247">
        <v>4597.460989247287</v>
      </c>
      <c r="J388" s="128">
        <v>97263.72997679586</v>
      </c>
    </row>
    <row r="389">
      <c r="A389" s="245">
        <v>43084.0</v>
      </c>
      <c r="B389" s="28">
        <v>0.017936776062110284</v>
      </c>
      <c r="C389" s="28">
        <v>0.010795289222706603</v>
      </c>
      <c r="D389" s="28">
        <v>0.028732065284816886</v>
      </c>
      <c r="E389" s="28">
        <v>0.004877418154602395</v>
      </c>
      <c r="F389" s="247">
        <v>1077.5067225979901</v>
      </c>
      <c r="G389" s="246">
        <v>6347.414250160455</v>
      </c>
      <c r="H389" s="247">
        <v>20018.009000000013</v>
      </c>
      <c r="I389" s="247">
        <v>4597.460989247287</v>
      </c>
      <c r="J389" s="128">
        <v>95886.5535322255</v>
      </c>
    </row>
    <row r="390">
      <c r="A390" s="245">
        <v>43083.0</v>
      </c>
      <c r="B390" s="28">
        <v>0.01304551779311981</v>
      </c>
      <c r="C390" s="28">
        <v>0.010809129337094683</v>
      </c>
      <c r="D390" s="28">
        <v>0.02385464713021449</v>
      </c>
      <c r="E390" s="28">
        <v>-0.001070995432791426</v>
      </c>
      <c r="F390" s="247">
        <v>-236.6015670843335</v>
      </c>
      <c r="G390" s="246">
        <v>5269.907527562465</v>
      </c>
      <c r="H390" s="247">
        <v>20018.009000000013</v>
      </c>
      <c r="I390" s="247">
        <v>4597.460989247287</v>
      </c>
      <c r="J390" s="128">
        <v>94809.04680962751</v>
      </c>
    </row>
    <row r="391">
      <c r="A391" s="245">
        <v>43082.0</v>
      </c>
      <c r="B391" s="28">
        <v>0.014102637578495194</v>
      </c>
      <c r="C391" s="28">
        <v>0.010823004984510725</v>
      </c>
      <c r="D391" s="28">
        <v>0.024925642563005918</v>
      </c>
      <c r="E391" s="28">
        <v>0.002150716273818791</v>
      </c>
      <c r="F391" s="247">
        <v>475.1307290013492</v>
      </c>
      <c r="G391" s="246">
        <v>5506.509094646798</v>
      </c>
      <c r="H391" s="247">
        <v>20018.009000000013</v>
      </c>
      <c r="I391" s="247">
        <v>4597.460989247287</v>
      </c>
      <c r="J391" s="128">
        <v>95045.64837671185</v>
      </c>
    </row>
    <row r="392">
      <c r="A392" s="245">
        <v>43081.0</v>
      </c>
      <c r="B392" s="28">
        <v>0.011938009987215592</v>
      </c>
      <c r="C392" s="28">
        <v>0.010836916301971537</v>
      </c>
      <c r="D392" s="28">
        <v>0.022774926289187127</v>
      </c>
      <c r="E392" s="28">
        <v>0.002366312320246842</v>
      </c>
      <c r="F392" s="247">
        <v>522.7596552135828</v>
      </c>
      <c r="G392" s="246">
        <v>5031.378365645449</v>
      </c>
      <c r="H392" s="247">
        <v>20018.009000000013</v>
      </c>
      <c r="I392" s="247">
        <v>4597.460989247287</v>
      </c>
      <c r="J392" s="128">
        <v>94570.5176477105</v>
      </c>
    </row>
    <row r="393">
      <c r="A393" s="245">
        <v>43080.0</v>
      </c>
      <c r="B393" s="28">
        <v>0.009533063914576888</v>
      </c>
      <c r="C393" s="28">
        <v>0.010875550054363397</v>
      </c>
      <c r="D393" s="28">
        <v>0.020408613968940285</v>
      </c>
      <c r="E393" s="28">
        <v>-0.003544649666722608</v>
      </c>
      <c r="F393" s="247">
        <v>-1325.6261125418596</v>
      </c>
      <c r="G393" s="246">
        <v>4508.618710431866</v>
      </c>
      <c r="H393" s="247">
        <v>16842.517000000007</v>
      </c>
      <c r="I393" s="247">
        <v>4215.624218637972</v>
      </c>
      <c r="J393" s="128">
        <v>94047.75799249692</v>
      </c>
    </row>
    <row r="394">
      <c r="A394" s="245">
        <v>43077.0</v>
      </c>
      <c r="B394" s="28">
        <v>0.014648057315049761</v>
      </c>
      <c r="C394" s="28">
        <v>0.011761106564091817</v>
      </c>
      <c r="D394" s="28">
        <v>0.02640916387914158</v>
      </c>
      <c r="E394" s="28">
        <v>-0.002008707308177697</v>
      </c>
      <c r="F394" s="247">
        <v>-443.75847214387977</v>
      </c>
      <c r="G394" s="246">
        <v>5834.244822973726</v>
      </c>
      <c r="H394" s="247">
        <v>16842.517000000007</v>
      </c>
      <c r="I394" s="247">
        <v>4215.624218637972</v>
      </c>
      <c r="J394" s="128">
        <v>95373.38410503877</v>
      </c>
    </row>
    <row r="395">
      <c r="A395" s="245">
        <v>43076.0</v>
      </c>
      <c r="B395" s="28">
        <v>0.016641549737633557</v>
      </c>
      <c r="C395" s="28">
        <v>0.011776321449685719</v>
      </c>
      <c r="D395" s="28">
        <v>0.028417871187319275</v>
      </c>
      <c r="E395" s="28">
        <v>0.008677597282895418</v>
      </c>
      <c r="F395" s="247">
        <v>1917.0325594279693</v>
      </c>
      <c r="G395" s="246">
        <v>6278.003295117605</v>
      </c>
      <c r="H395" s="247">
        <v>16842.517000000007</v>
      </c>
      <c r="I395" s="247">
        <v>4215.624218637972</v>
      </c>
      <c r="J395" s="128">
        <v>95817.14257718265</v>
      </c>
    </row>
    <row r="396">
      <c r="A396" s="245">
        <v>43075.0</v>
      </c>
      <c r="B396" s="28">
        <v>0.00794869815234217</v>
      </c>
      <c r="C396" s="28">
        <v>0.011791575752081687</v>
      </c>
      <c r="D396" s="28">
        <v>0.019740273904423858</v>
      </c>
      <c r="E396" s="28">
        <v>0.0036869821863339917</v>
      </c>
      <c r="F396" s="247">
        <v>814.5186584269336</v>
      </c>
      <c r="G396" s="246">
        <v>4360.970735689636</v>
      </c>
      <c r="H396" s="247">
        <v>16842.517000000007</v>
      </c>
      <c r="I396" s="247">
        <v>4215.624218637972</v>
      </c>
      <c r="J396" s="128">
        <v>93900.11001775468</v>
      </c>
    </row>
    <row r="397">
      <c r="A397" s="245">
        <v>43074.0</v>
      </c>
      <c r="B397" s="28">
        <v>0.004246422093437383</v>
      </c>
      <c r="C397" s="28">
        <v>0.011806869624652484</v>
      </c>
      <c r="D397" s="28">
        <v>0.016053291718089866</v>
      </c>
      <c r="E397" s="28">
        <v>-0.0038586401907255326</v>
      </c>
      <c r="F397" s="247">
        <v>-852.4409049632718</v>
      </c>
      <c r="G397" s="246">
        <v>3546.4520772627025</v>
      </c>
      <c r="H397" s="247">
        <v>16842.517000000007</v>
      </c>
      <c r="I397" s="247">
        <v>4215.624218637972</v>
      </c>
      <c r="J397" s="128">
        <v>93085.59135932774</v>
      </c>
    </row>
    <row r="398">
      <c r="A398" s="245">
        <v>43073.0</v>
      </c>
      <c r="B398" s="28">
        <v>0.008089728687247782</v>
      </c>
      <c r="C398" s="28">
        <v>0.011822203221567617</v>
      </c>
      <c r="D398" s="28">
        <v>0.0199119319088154</v>
      </c>
      <c r="E398" s="28">
        <v>0.010947049400104552</v>
      </c>
      <c r="F398" s="247">
        <v>4086.964675444697</v>
      </c>
      <c r="G398" s="246">
        <v>4398.892982225974</v>
      </c>
      <c r="H398" s="247">
        <v>16842.517000000007</v>
      </c>
      <c r="I398" s="247">
        <v>4215.624218637972</v>
      </c>
      <c r="J398" s="128">
        <v>93938.032264291</v>
      </c>
    </row>
    <row r="399">
      <c r="A399" s="245">
        <v>43070.0</v>
      </c>
      <c r="B399" s="28">
        <v>-0.010435746336066228</v>
      </c>
      <c r="C399" s="28">
        <v>0.011847714126634724</v>
      </c>
      <c r="D399" s="28">
        <v>0.0014119677905684962</v>
      </c>
      <c r="E399" s="28">
        <v>-0.009679035370914154</v>
      </c>
      <c r="F399" s="247">
        <v>-2138.267696113483</v>
      </c>
      <c r="G399" s="246">
        <v>311.9283067812772</v>
      </c>
      <c r="H399" s="247">
        <v>16842.517000000007</v>
      </c>
      <c r="I399" s="247">
        <v>4215.624218637972</v>
      </c>
      <c r="J399" s="128">
        <v>89851.0675888463</v>
      </c>
    </row>
    <row r="400">
      <c r="A400" s="245">
        <v>43069.0</v>
      </c>
      <c r="B400" s="28">
        <v>-5.497713545283561E-4</v>
      </c>
      <c r="C400" s="28">
        <v>0.011640774516011006</v>
      </c>
      <c r="D400" s="28">
        <v>0.01109100316148265</v>
      </c>
      <c r="E400" s="28">
        <v>-0.00830063514402886</v>
      </c>
      <c r="F400" s="247">
        <v>-1833.7550494998209</v>
      </c>
      <c r="G400" s="246">
        <v>2450.19600289476</v>
      </c>
      <c r="H400" s="247">
        <v>16842.517000000007</v>
      </c>
      <c r="I400" s="247">
        <v>4215.624218637972</v>
      </c>
      <c r="J400" s="128">
        <v>91989.33528495979</v>
      </c>
    </row>
    <row r="401">
      <c r="A401" s="245">
        <v>43068.0</v>
      </c>
      <c r="B401" s="28">
        <v>0.0053295697976165285</v>
      </c>
      <c r="C401" s="28">
        <v>0.014062068507894983</v>
      </c>
      <c r="D401" s="28">
        <v>0.01939163830551151</v>
      </c>
      <c r="E401" s="28">
        <v>0.00726891575243443</v>
      </c>
      <c r="F401" s="247">
        <v>1605.830244810129</v>
      </c>
      <c r="G401" s="246">
        <v>4283.951052394581</v>
      </c>
      <c r="H401" s="247">
        <v>16842.517000000007</v>
      </c>
      <c r="I401" s="247">
        <v>4215.624218637972</v>
      </c>
      <c r="J401" s="128">
        <v>93823.0903344596</v>
      </c>
    </row>
    <row r="402">
      <c r="A402" s="245">
        <v>43067.0</v>
      </c>
      <c r="B402" s="28">
        <v>-0.0020132595869224845</v>
      </c>
      <c r="C402" s="28">
        <v>0.014135982139999566</v>
      </c>
      <c r="D402" s="28">
        <v>0.012122722553077081</v>
      </c>
      <c r="E402" s="28">
        <v>0.00637181601972619</v>
      </c>
      <c r="F402" s="247">
        <v>1407.645270261276</v>
      </c>
      <c r="G402" s="246">
        <v>2678.120807584452</v>
      </c>
      <c r="H402" s="247">
        <v>16842.517000000007</v>
      </c>
      <c r="I402" s="247">
        <v>4215.624218637972</v>
      </c>
      <c r="J402" s="128">
        <v>92217.26008964947</v>
      </c>
    </row>
    <row r="403">
      <c r="A403" s="245">
        <v>43066.0</v>
      </c>
      <c r="B403" s="28">
        <v>-0.008385075606648675</v>
      </c>
      <c r="C403" s="28">
        <v>0.014135982139999566</v>
      </c>
      <c r="D403" s="28">
        <v>0.005750906533350891</v>
      </c>
      <c r="E403" s="28">
        <v>-0.00956913563868969</v>
      </c>
      <c r="F403" s="247">
        <v>-2113.988928837432</v>
      </c>
      <c r="G403" s="246">
        <v>1270.475537323176</v>
      </c>
      <c r="H403" s="247">
        <v>16741.60700000001</v>
      </c>
      <c r="I403" s="247">
        <v>4215.624218637972</v>
      </c>
      <c r="J403" s="128">
        <v>90809.6148193882</v>
      </c>
    </row>
    <row r="404">
      <c r="A404" s="245">
        <v>43063.0</v>
      </c>
      <c r="B404" s="28">
        <v>0.0011654600555410163</v>
      </c>
      <c r="C404" s="28">
        <v>0.014154582116499566</v>
      </c>
      <c r="D404" s="28">
        <v>0.015320042172040582</v>
      </c>
      <c r="E404" s="28">
        <v>-0.0023196010742614105</v>
      </c>
      <c r="F404" s="247">
        <v>-512.4403264263365</v>
      </c>
      <c r="G404" s="246">
        <v>3384.464466160608</v>
      </c>
      <c r="H404" s="247">
        <v>16741.60700000001</v>
      </c>
      <c r="I404" s="247">
        <v>4215.624218637972</v>
      </c>
      <c r="J404" s="128">
        <v>92923.60374822562</v>
      </c>
    </row>
    <row r="405">
      <c r="A405" s="245">
        <v>43062.0</v>
      </c>
      <c r="B405" s="28">
        <v>0.0034664121415066453</v>
      </c>
      <c r="C405" s="28">
        <v>0.014173231104795347</v>
      </c>
      <c r="D405" s="28">
        <v>0.017639643246301993</v>
      </c>
      <c r="E405" s="28">
        <v>-0.006284471816351646</v>
      </c>
      <c r="F405" s="247">
        <v>-1388.3494126306914</v>
      </c>
      <c r="G405" s="246">
        <v>3896.9047925869445</v>
      </c>
      <c r="H405" s="247">
        <v>16741.60700000001</v>
      </c>
      <c r="I405" s="247">
        <v>4215.624218637972</v>
      </c>
      <c r="J405" s="128">
        <v>93436.04407465196</v>
      </c>
    </row>
    <row r="406">
      <c r="A406" s="245">
        <v>43061.0</v>
      </c>
      <c r="B406" s="28">
        <v>0.009732185763788646</v>
      </c>
      <c r="C406" s="28">
        <v>0.014191929298864992</v>
      </c>
      <c r="D406" s="28">
        <v>0.02392411506265364</v>
      </c>
      <c r="E406" s="28">
        <v>0.003167272189870802</v>
      </c>
      <c r="F406" s="247">
        <v>699.7056575235665</v>
      </c>
      <c r="G406" s="246">
        <v>5285.254205217636</v>
      </c>
      <c r="H406" s="247">
        <v>16741.60700000001</v>
      </c>
      <c r="I406" s="247">
        <v>4215.624218637972</v>
      </c>
      <c r="J406" s="128">
        <v>94824.39348728265</v>
      </c>
    </row>
    <row r="407">
      <c r="A407" s="245">
        <v>43060.0</v>
      </c>
      <c r="B407" s="28">
        <v>0.0065461659790712595</v>
      </c>
      <c r="C407" s="28">
        <v>0.014210676893711579</v>
      </c>
      <c r="D407" s="28">
        <v>0.020756842872782837</v>
      </c>
      <c r="E407" s="28">
        <v>0.00620040525104712</v>
      </c>
      <c r="F407" s="247">
        <v>1369.7776424051112</v>
      </c>
      <c r="G407" s="246">
        <v>4585.548547694069</v>
      </c>
      <c r="H407" s="247">
        <v>16741.60700000001</v>
      </c>
      <c r="I407" s="247">
        <v>4215.624218637972</v>
      </c>
      <c r="J407" s="128">
        <v>94124.68782975909</v>
      </c>
    </row>
    <row r="408">
      <c r="A408" s="245">
        <v>43059.0</v>
      </c>
      <c r="B408" s="28">
        <v>3.2696353636579135E-4</v>
      </c>
      <c r="C408" s="28">
        <v>0.014229474085369925</v>
      </c>
      <c r="D408" s="28">
        <v>0.014556437621735717</v>
      </c>
      <c r="E408" s="28">
        <v>-4.893879445442978E-4</v>
      </c>
      <c r="F408" s="247">
        <v>1829.6199066876366</v>
      </c>
      <c r="G408" s="246">
        <v>3215.770905288958</v>
      </c>
      <c r="H408" s="247">
        <v>16741.60700000001</v>
      </c>
      <c r="I408" s="247">
        <v>4215.624218637972</v>
      </c>
      <c r="J408" s="128">
        <v>92754.91018735398</v>
      </c>
    </row>
    <row r="409">
      <c r="A409" s="245">
        <v>43056.0</v>
      </c>
      <c r="B409" s="28">
        <v>-0.008312761320488858</v>
      </c>
      <c r="C409" s="28">
        <v>0.014587281844404642</v>
      </c>
      <c r="D409" s="28">
        <v>0.0062745205239157845</v>
      </c>
      <c r="E409" s="28">
        <v>-0.010914314917584739</v>
      </c>
      <c r="F409" s="247">
        <v>-2411.1624887343255</v>
      </c>
      <c r="G409" s="246">
        <v>1386.1509986013216</v>
      </c>
      <c r="H409" s="247">
        <v>16741.60700000001</v>
      </c>
      <c r="I409" s="247">
        <v>4215.624218637972</v>
      </c>
      <c r="J409" s="128">
        <v>90925.29028066633</v>
      </c>
    </row>
    <row r="410">
      <c r="A410" s="245">
        <v>43055.0</v>
      </c>
      <c r="B410" s="28">
        <v>0.002582155615919807</v>
      </c>
      <c r="C410" s="28">
        <v>0.014606679825580718</v>
      </c>
      <c r="D410" s="28">
        <v>0.017188835441500523</v>
      </c>
      <c r="E410" s="28">
        <v>0.020584232471364653</v>
      </c>
      <c r="F410" s="247">
        <v>4547.41590004668</v>
      </c>
      <c r="G410" s="246">
        <v>3797.313487335647</v>
      </c>
      <c r="H410" s="247">
        <v>16741.60700000001</v>
      </c>
      <c r="I410" s="247">
        <v>4215.624218637972</v>
      </c>
      <c r="J410" s="128">
        <v>93336.45276940065</v>
      </c>
    </row>
    <row r="411">
      <c r="A411" s="245">
        <v>43054.0</v>
      </c>
      <c r="B411" s="28">
        <v>-0.018021526495691966</v>
      </c>
      <c r="C411" s="28">
        <v>0.014626129465827836</v>
      </c>
      <c r="D411" s="28">
        <v>-0.00339539702986413</v>
      </c>
      <c r="E411" s="28">
        <v>-0.01059061643129419</v>
      </c>
      <c r="F411" s="247">
        <v>-2339.6518484699186</v>
      </c>
      <c r="G411" s="246">
        <v>-750.102412711033</v>
      </c>
      <c r="H411" s="247">
        <v>16741.60700000001</v>
      </c>
      <c r="I411" s="247">
        <v>4215.624218637972</v>
      </c>
      <c r="J411" s="128">
        <v>88789.03686935398</v>
      </c>
    </row>
    <row r="412">
      <c r="A412" s="245">
        <v>43053.0</v>
      </c>
      <c r="B412" s="28">
        <v>-0.0074504115703522035</v>
      </c>
      <c r="C412" s="28">
        <v>0.014645630971782264</v>
      </c>
      <c r="D412" s="28">
        <v>0.00719521940143006</v>
      </c>
      <c r="E412" s="28">
        <v>-0.006923911879677494</v>
      </c>
      <c r="F412" s="247">
        <v>-1529.6128731527165</v>
      </c>
      <c r="G412" s="246">
        <v>1589.5494357588855</v>
      </c>
      <c r="H412" s="247">
        <v>16741.60700000001</v>
      </c>
      <c r="I412" s="247">
        <v>4215.624218637972</v>
      </c>
      <c r="J412" s="128">
        <v>91128.6887178239</v>
      </c>
    </row>
    <row r="413">
      <c r="A413" s="245">
        <v>43052.0</v>
      </c>
      <c r="B413" s="28">
        <v>-5.460532700762895E-4</v>
      </c>
      <c r="C413" s="28">
        <v>0.014665184551183843</v>
      </c>
      <c r="D413" s="28">
        <v>0.014119131281107554</v>
      </c>
      <c r="E413" s="28">
        <v>0.0024971847464639943</v>
      </c>
      <c r="F413" s="247">
        <v>-2952.024621244299</v>
      </c>
      <c r="G413" s="246">
        <v>3119.162308911602</v>
      </c>
      <c r="H413" s="247">
        <v>16741.60700000001</v>
      </c>
      <c r="I413" s="247">
        <v>4215.624218637972</v>
      </c>
      <c r="J413" s="128">
        <v>92658.30159097661</v>
      </c>
    </row>
    <row r="414">
      <c r="A414" s="245">
        <v>43049.0</v>
      </c>
      <c r="B414" s="28">
        <v>0.012757540969047769</v>
      </c>
      <c r="C414" s="28">
        <v>0.01472415982417788</v>
      </c>
      <c r="D414" s="28">
        <v>0.02748170079322565</v>
      </c>
      <c r="E414" s="28">
        <v>-0.007830241701264708</v>
      </c>
      <c r="F414" s="247">
        <v>-1729.8369352889003</v>
      </c>
      <c r="G414" s="246">
        <v>6071.186930155901</v>
      </c>
      <c r="H414" s="247">
        <v>16741.60700000001</v>
      </c>
      <c r="I414" s="247">
        <v>4215.624218637972</v>
      </c>
      <c r="J414" s="128">
        <v>95610.32621222091</v>
      </c>
    </row>
    <row r="415">
      <c r="A415" s="245">
        <v>43048.0</v>
      </c>
      <c r="B415" s="28">
        <v>0.02052751085721818</v>
      </c>
      <c r="C415" s="28">
        <v>0.014784431637272178</v>
      </c>
      <c r="D415" s="173">
        <v>0.03531194249449036</v>
      </c>
      <c r="E415" s="173">
        <v>-0.0024625825229685344</v>
      </c>
      <c r="F415" s="247">
        <v>-544.0274217512169</v>
      </c>
      <c r="G415" s="246">
        <v>7801.023865444801</v>
      </c>
      <c r="H415" s="247">
        <v>16741.60700000001</v>
      </c>
      <c r="I415" s="247">
        <v>4215.624218637972</v>
      </c>
      <c r="J415" s="128">
        <v>97340.16314750981</v>
      </c>
    </row>
    <row r="416">
      <c r="A416" s="245">
        <v>43047.0</v>
      </c>
      <c r="B416" s="28">
        <v>0.02297022183228715</v>
      </c>
      <c r="C416" s="28">
        <v>0.014804303185171739</v>
      </c>
      <c r="D416" s="173">
        <v>0.03777452501745889</v>
      </c>
      <c r="E416" s="173">
        <v>-0.0038270665885175095</v>
      </c>
      <c r="F416" s="247">
        <v>-845.4657456561526</v>
      </c>
      <c r="G416" s="246">
        <v>8345.051287196018</v>
      </c>
      <c r="H416" s="247">
        <v>16741.60700000001</v>
      </c>
      <c r="I416" s="247">
        <v>4215.624218637972</v>
      </c>
      <c r="J416" s="128">
        <v>97884.19056926103</v>
      </c>
    </row>
    <row r="417">
      <c r="A417" s="245">
        <v>43046.0</v>
      </c>
      <c r="B417" s="28">
        <v>0.02579178908345716</v>
      </c>
      <c r="C417" s="28">
        <v>0.01580980252251924</v>
      </c>
      <c r="D417" s="173">
        <v>0.0416015916059764</v>
      </c>
      <c r="E417" s="173">
        <v>0.009795835376515072</v>
      </c>
      <c r="F417" s="247">
        <v>2164.0708541051163</v>
      </c>
      <c r="G417" s="246">
        <v>9190.51703285217</v>
      </c>
      <c r="H417" s="247">
        <v>16042.77100000001</v>
      </c>
      <c r="I417" s="247">
        <v>4159.066175627221</v>
      </c>
      <c r="J417" s="128">
        <v>98729.65631491719</v>
      </c>
    </row>
    <row r="418">
      <c r="A418" s="245">
        <v>43045.0</v>
      </c>
      <c r="B418" s="28">
        <v>0.015974646695456205</v>
      </c>
      <c r="C418" s="28">
        <v>0.015831109534005124</v>
      </c>
      <c r="D418" s="173">
        <v>0.03180575622946133</v>
      </c>
      <c r="E418" s="173">
        <v>4.917239573126245E-4</v>
      </c>
      <c r="F418" s="247">
        <v>1395.7065188713868</v>
      </c>
      <c r="G418" s="246">
        <v>7026.446178747055</v>
      </c>
      <c r="H418" s="247">
        <v>16042.77100000001</v>
      </c>
      <c r="I418" s="247">
        <v>4159.066175627221</v>
      </c>
      <c r="J418" s="128">
        <v>96565.58546081207</v>
      </c>
    </row>
    <row r="419">
      <c r="A419" s="245">
        <v>43042.0</v>
      </c>
      <c r="B419" s="28">
        <v>0.00959260534322259</v>
      </c>
      <c r="C419" s="28">
        <v>0.015895376555117455</v>
      </c>
      <c r="D419" s="173">
        <v>0.025487981898340045</v>
      </c>
      <c r="E419" s="173">
        <v>0.006457949651989297</v>
      </c>
      <c r="F419" s="247">
        <v>1426.6736916234477</v>
      </c>
      <c r="G419" s="246">
        <v>5630.739659875668</v>
      </c>
      <c r="H419" s="247">
        <v>16042.77100000001</v>
      </c>
      <c r="I419" s="247">
        <v>4159.066175627221</v>
      </c>
      <c r="J419" s="128">
        <v>95169.87894194068</v>
      </c>
    </row>
    <row r="420">
      <c r="A420" s="245">
        <v>43041.0</v>
      </c>
      <c r="B420" s="28">
        <v>0.0031131172406165955</v>
      </c>
      <c r="C420" s="28">
        <v>0.015916915005734153</v>
      </c>
      <c r="D420" s="173">
        <v>0.019030032246350748</v>
      </c>
      <c r="E420" s="173">
        <v>0.0015834431196863862</v>
      </c>
      <c r="F420" s="247">
        <v>349.81019716417995</v>
      </c>
      <c r="G420" s="246">
        <v>4204.06596825222</v>
      </c>
      <c r="H420" s="247">
        <v>16042.77100000001</v>
      </c>
      <c r="I420" s="247">
        <v>4159.066175627221</v>
      </c>
      <c r="J420" s="128">
        <v>93743.20525031723</v>
      </c>
    </row>
    <row r="421">
      <c r="A421" s="245">
        <v>43040.0</v>
      </c>
      <c r="B421" s="28">
        <v>0.0017955081210223622</v>
      </c>
      <c r="C421" s="28">
        <v>0.015651081005641998</v>
      </c>
      <c r="D421" s="173">
        <v>0.01744658912666436</v>
      </c>
      <c r="E421" s="173">
        <v>9.0940292432546E-4</v>
      </c>
      <c r="F421" s="247">
        <v>200.90296411971985</v>
      </c>
      <c r="G421" s="246">
        <v>3854.25577108804</v>
      </c>
      <c r="H421" s="247">
        <v>16042.77100000001</v>
      </c>
      <c r="I421" s="247">
        <v>4159.066175627221</v>
      </c>
      <c r="J421" s="128">
        <v>93393.39505315306</v>
      </c>
    </row>
    <row r="422">
      <c r="A422" s="245">
        <v>43039.0</v>
      </c>
      <c r="B422" s="28">
        <v>8.648401409827055E-4</v>
      </c>
      <c r="C422" s="28">
        <v>0.015672346061356195</v>
      </c>
      <c r="D422" s="173">
        <v>0.0165371862023389</v>
      </c>
      <c r="E422" s="173">
        <v>0.008142080114548426</v>
      </c>
      <c r="F422" s="247">
        <v>1798.7274786105625</v>
      </c>
      <c r="G422" s="246">
        <v>3653.3528069683202</v>
      </c>
      <c r="H422" s="247">
        <v>16042.77100000001</v>
      </c>
      <c r="I422" s="247">
        <v>4159.066175627221</v>
      </c>
      <c r="J422" s="128">
        <v>93192.49208903333</v>
      </c>
    </row>
    <row r="423">
      <c r="A423" s="245">
        <v>43038.0</v>
      </c>
      <c r="B423" s="28">
        <v>-0.007298562893377088</v>
      </c>
      <c r="C423" s="28">
        <v>0.015693668981167565</v>
      </c>
      <c r="D423" s="173">
        <v>0.008395106087790476</v>
      </c>
      <c r="E423" s="173">
        <v>-0.004996116200191594</v>
      </c>
      <c r="F423" s="247">
        <v>1254.6025434055423</v>
      </c>
      <c r="G423" s="246">
        <v>1854.6253283577578</v>
      </c>
      <c r="H423" s="247">
        <v>16042.77100000001</v>
      </c>
      <c r="I423" s="247">
        <v>4159.066175627221</v>
      </c>
      <c r="J423" s="128">
        <v>91393.76461042278</v>
      </c>
    </row>
    <row r="424">
      <c r="A424" s="245">
        <v>43035.0</v>
      </c>
      <c r="B424" s="28">
        <v>-0.013041937398205281</v>
      </c>
      <c r="C424" s="28">
        <v>0.015757987296664153</v>
      </c>
      <c r="D424" s="173">
        <v>0.0027160498984588714</v>
      </c>
      <c r="E424" s="173">
        <v>0.018931246705326966</v>
      </c>
      <c r="F424" s="247">
        <v>4182.242519621275</v>
      </c>
      <c r="G424" s="246">
        <v>600.0227849522155</v>
      </c>
      <c r="H424" s="247">
        <v>16042.77100000001</v>
      </c>
      <c r="I424" s="247">
        <v>4159.066175627221</v>
      </c>
      <c r="J424" s="128">
        <v>90139.16206701723</v>
      </c>
    </row>
    <row r="425">
      <c r="A425" s="245">
        <v>43034.0</v>
      </c>
      <c r="B425" s="28">
        <v>-0.03199474085770005</v>
      </c>
      <c r="C425" s="28">
        <v>0.015779544050831956</v>
      </c>
      <c r="D425" s="173">
        <v>-0.016215196806868094</v>
      </c>
      <c r="E425" s="173">
        <v>-0.009478634996169164</v>
      </c>
      <c r="F425" s="247">
        <v>-2093.9957587576246</v>
      </c>
      <c r="G425" s="246">
        <v>-3582.2197346690596</v>
      </c>
      <c r="H425" s="247">
        <v>16042.77100000001</v>
      </c>
      <c r="I425" s="247">
        <v>4159.066175627221</v>
      </c>
      <c r="J425" s="128">
        <v>85956.91954739596</v>
      </c>
    </row>
    <row r="426">
      <c r="A426" s="245">
        <v>43033.0</v>
      </c>
      <c r="B426" s="28">
        <v>-0.022537721675299147</v>
      </c>
      <c r="C426" s="28">
        <v>0.015801159864600216</v>
      </c>
      <c r="D426" s="173">
        <v>-0.00673656181069893</v>
      </c>
      <c r="E426" s="173">
        <v>-0.00775436794339455</v>
      </c>
      <c r="F426" s="247">
        <v>-1713.0750990914598</v>
      </c>
      <c r="G426" s="246">
        <v>-1488.223975911435</v>
      </c>
      <c r="H426" s="247">
        <v>16042.77100000001</v>
      </c>
      <c r="I426" s="247">
        <v>4159.066175627221</v>
      </c>
      <c r="J426" s="128">
        <v>88050.91530615358</v>
      </c>
    </row>
    <row r="427">
      <c r="A427" s="245">
        <v>43032.0</v>
      </c>
      <c r="B427" s="28">
        <v>-0.014805028848316944</v>
      </c>
      <c r="C427" s="28">
        <v>0.015822834981012564</v>
      </c>
      <c r="D427" s="173">
        <v>0.0010178061326956197</v>
      </c>
      <c r="E427" s="173">
        <v>-0.0025839628055262364</v>
      </c>
      <c r="F427" s="247">
        <v>-570.8424427933131</v>
      </c>
      <c r="G427" s="246">
        <v>224.85112318002493</v>
      </c>
      <c r="H427" s="247">
        <v>16042.77100000001</v>
      </c>
      <c r="I427" s="247">
        <v>4159.066175627221</v>
      </c>
      <c r="J427" s="128">
        <v>89763.99040524503</v>
      </c>
    </row>
    <row r="428">
      <c r="A428" s="245">
        <v>43031.0</v>
      </c>
      <c r="B428" s="28">
        <v>-0.012242800706226162</v>
      </c>
      <c r="C428" s="28">
        <v>0.01584456964444802</v>
      </c>
      <c r="D428" s="173">
        <v>0.003601768938221856</v>
      </c>
      <c r="E428" s="173">
        <v>0.0065025086819921925</v>
      </c>
      <c r="F428" s="247">
        <v>31.473502514242114</v>
      </c>
      <c r="G428" s="246">
        <v>795.6935659733381</v>
      </c>
      <c r="H428" s="247">
        <v>16042.77100000001</v>
      </c>
      <c r="I428" s="247">
        <v>4159.066175627221</v>
      </c>
      <c r="J428" s="128">
        <v>90334.83284803834</v>
      </c>
    </row>
    <row r="429">
      <c r="A429" s="245">
        <v>43028.0</v>
      </c>
      <c r="B429" s="28">
        <v>-0.012450831704682938</v>
      </c>
      <c r="C429" s="28">
        <v>0.015910133380907802</v>
      </c>
      <c r="D429" s="173">
        <v>0.003459301676224864</v>
      </c>
      <c r="E429" s="173">
        <v>0.005338912102754058</v>
      </c>
      <c r="F429" s="247">
        <v>1179.458783259938</v>
      </c>
      <c r="G429" s="246">
        <v>764.220063459096</v>
      </c>
      <c r="H429" s="247">
        <v>16042.77100000001</v>
      </c>
      <c r="I429" s="247">
        <v>4159.066175627221</v>
      </c>
      <c r="J429" s="128">
        <v>90303.35934552409</v>
      </c>
    </row>
    <row r="430">
      <c r="A430" s="245">
        <v>43027.0</v>
      </c>
      <c r="B430" s="28">
        <v>-0.01781171912978632</v>
      </c>
      <c r="C430" s="28">
        <v>0.015932108703257127</v>
      </c>
      <c r="D430" s="173">
        <v>-0.0018796104265291942</v>
      </c>
      <c r="E430" s="173">
        <v>-0.015925966940460917</v>
      </c>
      <c r="F430" s="247">
        <v>-3518.3238135994716</v>
      </c>
      <c r="G430" s="246">
        <v>-415.238719800842</v>
      </c>
      <c r="H430" s="247">
        <v>16042.77100000001</v>
      </c>
      <c r="I430" s="247">
        <v>4159.066175627221</v>
      </c>
      <c r="J430" s="128">
        <v>89123.90056226416</v>
      </c>
    </row>
    <row r="431">
      <c r="A431" s="245">
        <v>43026.0</v>
      </c>
      <c r="B431" s="28">
        <v>-0.0019077883009481547</v>
      </c>
      <c r="C431" s="28">
        <v>0.01595414481487988</v>
      </c>
      <c r="D431" s="173">
        <v>0.014046356513931725</v>
      </c>
      <c r="E431" s="173">
        <v>0.003298347752623316</v>
      </c>
      <c r="F431" s="247">
        <v>728.6625350266522</v>
      </c>
      <c r="G431" s="246">
        <v>3103.0850937986297</v>
      </c>
      <c r="H431" s="247">
        <v>16042.77100000001</v>
      </c>
      <c r="I431" s="247">
        <v>4159.066175627221</v>
      </c>
      <c r="J431" s="128">
        <v>92642.22437586363</v>
      </c>
    </row>
    <row r="432">
      <c r="A432" s="245">
        <v>43025.0</v>
      </c>
      <c r="B432" s="28">
        <v>-0.005228233207054694</v>
      </c>
      <c r="C432" s="28">
        <v>0.015976241968363104</v>
      </c>
      <c r="D432" s="173">
        <v>0.010748008761308409</v>
      </c>
      <c r="E432" s="173">
        <v>0.0024331720932888774</v>
      </c>
      <c r="F432" s="247">
        <v>537.5301449769415</v>
      </c>
      <c r="G432" s="246">
        <v>2374.4225587719775</v>
      </c>
      <c r="H432" s="247">
        <v>16042.77100000001</v>
      </c>
      <c r="I432" s="247">
        <v>4159.066175627221</v>
      </c>
      <c r="J432" s="128">
        <v>91913.56184083698</v>
      </c>
    </row>
    <row r="433">
      <c r="A433" s="245">
        <v>43024.0</v>
      </c>
      <c r="B433" s="28">
        <v>-0.007683563749675549</v>
      </c>
      <c r="C433" s="28">
        <v>0.01599840041769508</v>
      </c>
      <c r="D433" s="173">
        <v>0.008314836668019531</v>
      </c>
      <c r="E433" s="173">
        <v>0.004058425524109852</v>
      </c>
      <c r="F433" s="247">
        <v>2821.476523122284</v>
      </c>
      <c r="G433" s="246">
        <v>1836.892413795036</v>
      </c>
      <c r="H433" s="247">
        <v>16042.77100000001</v>
      </c>
      <c r="I433" s="247">
        <v>4159.066175627221</v>
      </c>
      <c r="J433" s="128">
        <v>91376.03169586003</v>
      </c>
    </row>
    <row r="434">
      <c r="A434" s="245">
        <v>43021.0</v>
      </c>
      <c r="B434" s="28">
        <v>-0.020522042805662517</v>
      </c>
      <c r="C434" s="28">
        <v>0.01606524610189158</v>
      </c>
      <c r="D434" s="173">
        <v>-0.004456796703770936</v>
      </c>
      <c r="E434" s="173">
        <v>0.005770242385775087</v>
      </c>
      <c r="F434" s="247">
        <v>1274.7471643015956</v>
      </c>
      <c r="G434" s="246">
        <v>-984.5841093272483</v>
      </c>
      <c r="H434" s="247">
        <v>16042.77100000001</v>
      </c>
      <c r="I434" s="247">
        <v>4159.066175627221</v>
      </c>
      <c r="J434" s="128">
        <v>88554.55517273775</v>
      </c>
    </row>
    <row r="435">
      <c r="A435" s="245">
        <v>43020.0</v>
      </c>
      <c r="B435" s="28">
        <v>-0.026314691392416538</v>
      </c>
      <c r="C435" s="28">
        <v>0.016087652302870514</v>
      </c>
      <c r="D435" s="173">
        <v>-0.010227039089546024</v>
      </c>
      <c r="E435" s="173">
        <v>-0.00273110160502478</v>
      </c>
      <c r="F435" s="247">
        <v>-603.3479694037544</v>
      </c>
      <c r="G435" s="246">
        <v>-2259.331273628844</v>
      </c>
      <c r="H435" s="247">
        <v>16042.77100000001</v>
      </c>
      <c r="I435" s="247">
        <v>4159.066175627221</v>
      </c>
      <c r="J435" s="128">
        <v>87279.80800843616</v>
      </c>
    </row>
    <row r="436">
      <c r="A436" s="245">
        <v>43019.0</v>
      </c>
      <c r="B436" s="28">
        <v>-0.02360605857552426</v>
      </c>
      <c r="C436" s="28">
        <v>0.016110121091003016</v>
      </c>
      <c r="D436" s="173">
        <v>-0.007495937484521244</v>
      </c>
      <c r="E436" s="173">
        <v>0.0022989076736911578</v>
      </c>
      <c r="F436" s="247">
        <v>507.868793389576</v>
      </c>
      <c r="G436" s="246">
        <v>-1655.9833042250896</v>
      </c>
      <c r="H436" s="247">
        <v>16042.77100000001</v>
      </c>
      <c r="I436" s="247">
        <v>4159.066175627221</v>
      </c>
      <c r="J436" s="128">
        <v>87883.15597783991</v>
      </c>
    </row>
    <row r="437">
      <c r="A437" s="245">
        <v>43018.0</v>
      </c>
      <c r="B437" s="28">
        <v>-0.025927497887104932</v>
      </c>
      <c r="C437" s="28">
        <v>0.01613265272889253</v>
      </c>
      <c r="D437" s="173">
        <v>-0.009794845158212401</v>
      </c>
      <c r="E437" s="173">
        <v>-0.004435634699865177</v>
      </c>
      <c r="F437" s="247">
        <v>-979.9090536421859</v>
      </c>
      <c r="G437" s="246">
        <v>-2163.8520976146656</v>
      </c>
      <c r="H437" s="247">
        <v>16042.77100000001</v>
      </c>
      <c r="I437" s="247">
        <v>4159.066175627221</v>
      </c>
      <c r="J437" s="128">
        <v>87375.28718445034</v>
      </c>
    </row>
    <row r="438">
      <c r="A438" s="245">
        <v>43017.0</v>
      </c>
      <c r="B438" s="28">
        <v>-0.021514457938960892</v>
      </c>
      <c r="C438" s="28">
        <v>0.016155247480613668</v>
      </c>
      <c r="D438" s="173">
        <v>-0.005359210458347224</v>
      </c>
      <c r="E438" s="173">
        <v>-0.0010265965087301807</v>
      </c>
      <c r="F438" s="247">
        <v>-1347.1821809990738</v>
      </c>
      <c r="G438" s="246">
        <v>-1183.9430439724797</v>
      </c>
      <c r="H438" s="247">
        <v>16042.77100000001</v>
      </c>
      <c r="I438" s="247">
        <v>4159.066175627221</v>
      </c>
      <c r="J438" s="128">
        <v>88355.19623809253</v>
      </c>
    </row>
    <row r="439">
      <c r="A439" s="245">
        <v>43014.0</v>
      </c>
      <c r="B439" s="28">
        <v>-0.015487746900297195</v>
      </c>
      <c r="C439" s="28">
        <v>0.016226661575980558</v>
      </c>
      <c r="D439" s="173">
        <v>7.389146756833637E-4</v>
      </c>
      <c r="E439" s="173">
        <v>0.004861595795893913</v>
      </c>
      <c r="F439" s="247">
        <v>1074.0112876495523</v>
      </c>
      <c r="G439" s="246">
        <v>163.2391370265942</v>
      </c>
      <c r="H439" s="247">
        <v>16042.77100000001</v>
      </c>
      <c r="I439" s="247">
        <v>4159.066175627221</v>
      </c>
      <c r="J439" s="128">
        <v>89702.3784190916</v>
      </c>
    </row>
    <row r="440">
      <c r="A440" s="245">
        <v>43013.0</v>
      </c>
      <c r="B440" s="28">
        <v>-0.020387258031603205</v>
      </c>
      <c r="C440" s="28">
        <v>0.016264576911392655</v>
      </c>
      <c r="D440" s="173">
        <v>-0.004122681120210549</v>
      </c>
      <c r="E440" s="173">
        <v>0.002181935945898956</v>
      </c>
      <c r="F440" s="247">
        <v>482.02769897140126</v>
      </c>
      <c r="G440" s="246">
        <v>-910.7721506229581</v>
      </c>
      <c r="H440" s="247">
        <v>16042.77100000001</v>
      </c>
      <c r="I440" s="247">
        <v>4159.066175627221</v>
      </c>
      <c r="J440" s="128">
        <v>88628.36713144205</v>
      </c>
    </row>
    <row r="441">
      <c r="A441" s="245">
        <v>43012.0</v>
      </c>
      <c r="B441" s="28">
        <v>-0.021253175269232562</v>
      </c>
      <c r="C441" s="28">
        <v>0.014948558203123057</v>
      </c>
      <c r="D441" s="173">
        <v>-0.006304617066109505</v>
      </c>
      <c r="E441" s="173">
        <v>0.0017747631192416447</v>
      </c>
      <c r="F441" s="247">
        <v>392.07612129736367</v>
      </c>
      <c r="G441" s="246">
        <v>-1392.7998495943593</v>
      </c>
      <c r="H441" s="247">
        <v>14982.976000000011</v>
      </c>
      <c r="I441" s="247">
        <v>4032.8666881720246</v>
      </c>
      <c r="J441" s="128">
        <v>88146.33943247065</v>
      </c>
    </row>
    <row r="442">
      <c r="A442" s="245">
        <v>43011.0</v>
      </c>
      <c r="B442" s="28">
        <v>-0.02008004257806596</v>
      </c>
      <c r="C442" s="28">
        <v>0.012000662392714809</v>
      </c>
      <c r="D442" s="173">
        <v>-0.00807938018535115</v>
      </c>
      <c r="E442" s="173">
        <v>-2.5117932126223624E-4</v>
      </c>
      <c r="F442" s="247">
        <v>-55.48989212300239</v>
      </c>
      <c r="G442" s="246">
        <v>-1784.875970891723</v>
      </c>
      <c r="H442" s="247">
        <v>14982.976000000011</v>
      </c>
      <c r="I442" s="247">
        <v>4032.8666881720246</v>
      </c>
      <c r="J442" s="128">
        <v>87754.26331117329</v>
      </c>
    </row>
    <row r="443">
      <c r="A443" s="245">
        <v>43010.0</v>
      </c>
      <c r="B443" s="28">
        <v>-0.019845837319593985</v>
      </c>
      <c r="C443" s="28">
        <v>0.012017636455505071</v>
      </c>
      <c r="D443" s="173">
        <v>-0.007828200864088914</v>
      </c>
      <c r="E443" s="173">
        <v>0.00941406358356032</v>
      </c>
      <c r="F443" s="247">
        <v>2096.8318529015487</v>
      </c>
      <c r="G443" s="246">
        <v>-1729.3860787687206</v>
      </c>
      <c r="H443" s="247">
        <v>14982.976000000011</v>
      </c>
      <c r="I443" s="247">
        <v>4032.8666881720246</v>
      </c>
      <c r="J443" s="128">
        <v>87809.75320329629</v>
      </c>
    </row>
    <row r="444">
      <c r="A444" s="245">
        <v>43007.0</v>
      </c>
      <c r="B444" s="28">
        <v>-0.028900294396653037</v>
      </c>
      <c r="C444" s="28">
        <v>0.011580620735223394</v>
      </c>
      <c r="D444" s="173">
        <v>-0.01731967366142964</v>
      </c>
      <c r="E444" s="173">
        <v>-0.005247617602244041</v>
      </c>
      <c r="F444" s="247">
        <v>-1159.2902361069846</v>
      </c>
      <c r="G444" s="246">
        <v>-3826.217931670269</v>
      </c>
      <c r="H444" s="247">
        <v>14982.976000000011</v>
      </c>
      <c r="I444" s="247">
        <v>4032.8666881720246</v>
      </c>
      <c r="J444" s="128">
        <v>85712.92135039474</v>
      </c>
    </row>
    <row r="445">
      <c r="A445" s="245">
        <v>43006.0</v>
      </c>
      <c r="B445" s="28">
        <v>-0.02366914993912482</v>
      </c>
      <c r="C445" s="28">
        <v>0.01159709387993922</v>
      </c>
      <c r="D445" s="173">
        <v>-0.0120720560591856</v>
      </c>
      <c r="E445" s="173">
        <v>-0.018644512305315122</v>
      </c>
      <c r="F445" s="247">
        <v>-4118.897890594271</v>
      </c>
      <c r="G445" s="246">
        <v>-2666.9276955632845</v>
      </c>
      <c r="H445" s="247">
        <v>14982.976000000011</v>
      </c>
      <c r="I445" s="247">
        <v>4032.8666881720246</v>
      </c>
      <c r="J445" s="128">
        <v>86872.21158650173</v>
      </c>
    </row>
    <row r="446">
      <c r="A446" s="245">
        <v>43005.0</v>
      </c>
      <c r="B446" s="28">
        <v>-0.005041157710561744</v>
      </c>
      <c r="C446" s="28">
        <v>0.011613613956691266</v>
      </c>
      <c r="D446" s="173">
        <v>0.006572456246129522</v>
      </c>
      <c r="E446" s="173">
        <v>0.004543593018021097</v>
      </c>
      <c r="F446" s="247">
        <v>1003.7589286961855</v>
      </c>
      <c r="G446" s="246">
        <v>1451.9701950309868</v>
      </c>
      <c r="H446" s="247">
        <v>14982.976000000011</v>
      </c>
      <c r="I446" s="247">
        <v>4032.8666881720246</v>
      </c>
      <c r="J446" s="128">
        <v>90991.109477096</v>
      </c>
    </row>
    <row r="447">
      <c r="A447" s="245">
        <v>43004.0</v>
      </c>
      <c r="B447" s="28">
        <v>-0.009601317938221488</v>
      </c>
      <c r="C447" s="28">
        <v>0.011630181166329913</v>
      </c>
      <c r="D447" s="173">
        <v>0.002028863228108425</v>
      </c>
      <c r="E447" s="173">
        <v>0.014215198629783661</v>
      </c>
      <c r="F447" s="247">
        <v>3140.3852614532034</v>
      </c>
      <c r="G447" s="246">
        <v>448.2112663348013</v>
      </c>
      <c r="H447" s="247">
        <v>14982.976000000011</v>
      </c>
      <c r="I447" s="247">
        <v>4032.8666881720246</v>
      </c>
      <c r="J447" s="128">
        <v>89987.35054839982</v>
      </c>
    </row>
    <row r="448">
      <c r="A448" s="245">
        <v>43003.0</v>
      </c>
      <c r="B448" s="28">
        <v>-0.02383313111252848</v>
      </c>
      <c r="C448" s="28">
        <v>0.011646795710853244</v>
      </c>
      <c r="D448" s="173">
        <v>-0.012186335401675236</v>
      </c>
      <c r="E448" s="173">
        <v>0.007475646147909026</v>
      </c>
      <c r="F448" s="247">
        <v>3071.164545507873</v>
      </c>
      <c r="G448" s="246">
        <v>-2692.173995118402</v>
      </c>
      <c r="H448" s="247">
        <v>14982.976000000011</v>
      </c>
      <c r="I448" s="247">
        <v>4032.8666881720246</v>
      </c>
      <c r="J448" s="128">
        <v>86846.96528694661</v>
      </c>
    </row>
    <row r="449">
      <c r="A449" s="245">
        <v>43000.0</v>
      </c>
      <c r="B449" s="28">
        <v>-0.03778512645716318</v>
      </c>
      <c r="C449" s="28">
        <v>0.011696925391100817</v>
      </c>
      <c r="D449" s="173">
        <v>-0.026088201066062362</v>
      </c>
      <c r="E449" s="173">
        <v>-0.009300403512821936</v>
      </c>
      <c r="F449" s="247">
        <v>-2054.621316091881</v>
      </c>
      <c r="G449" s="246">
        <v>-5763.338540626275</v>
      </c>
      <c r="H449" s="247">
        <v>14982.976000000011</v>
      </c>
      <c r="I449" s="247">
        <v>4032.8666881720246</v>
      </c>
      <c r="J449" s="128">
        <v>83775.80074143874</v>
      </c>
    </row>
    <row r="450">
      <c r="A450" s="245">
        <v>42999.0</v>
      </c>
      <c r="B450" s="28">
        <v>-0.028501528871627307</v>
      </c>
      <c r="C450" s="28">
        <v>0.011713731318386881</v>
      </c>
      <c r="D450" s="173">
        <v>-0.016787797553240426</v>
      </c>
      <c r="E450" s="173">
        <v>0.006801447558920766</v>
      </c>
      <c r="F450" s="247">
        <v>1502.558369169035</v>
      </c>
      <c r="G450" s="246">
        <v>-3708.717224534394</v>
      </c>
      <c r="H450" s="247">
        <v>14982.976000000011</v>
      </c>
      <c r="I450" s="247">
        <v>4032.8666881720246</v>
      </c>
      <c r="J450" s="128">
        <v>85830.42205753062</v>
      </c>
    </row>
    <row r="451">
      <c r="A451" s="245">
        <v>42998.0</v>
      </c>
      <c r="B451" s="28">
        <v>-0.035319830720214815</v>
      </c>
      <c r="C451" s="28">
        <v>0.011730585608053625</v>
      </c>
      <c r="D451" s="173">
        <v>-0.023589245112161192</v>
      </c>
      <c r="E451" s="173">
        <v>-0.003419816882863684</v>
      </c>
      <c r="F451" s="247">
        <v>-755.4971840711723</v>
      </c>
      <c r="G451" s="246">
        <v>-5211.275593703429</v>
      </c>
      <c r="H451" s="247">
        <v>14982.976000000011</v>
      </c>
      <c r="I451" s="247">
        <v>4032.8666881720246</v>
      </c>
      <c r="J451" s="128">
        <v>84327.86368836158</v>
      </c>
    </row>
    <row r="452">
      <c r="A452" s="245">
        <v>42997.0</v>
      </c>
      <c r="B452" s="28">
        <v>-0.031916916698457844</v>
      </c>
      <c r="C452" s="28">
        <v>0.011747488469160334</v>
      </c>
      <c r="D452" s="173">
        <v>-0.020169428229297508</v>
      </c>
      <c r="E452" s="173">
        <v>-0.009845551830449148</v>
      </c>
      <c r="F452" s="247">
        <v>-2175.054085732931</v>
      </c>
      <c r="G452" s="246">
        <v>-4455.778409632257</v>
      </c>
      <c r="H452" s="247">
        <v>14982.976000000011</v>
      </c>
      <c r="I452" s="247">
        <v>4032.8666881720246</v>
      </c>
      <c r="J452" s="128">
        <v>85083.36087243275</v>
      </c>
    </row>
    <row r="453">
      <c r="A453" s="245">
        <v>42996.0</v>
      </c>
      <c r="B453" s="28">
        <v>-0.02208831651082133</v>
      </c>
      <c r="C453" s="28">
        <v>0.01176444011197297</v>
      </c>
      <c r="D453" s="173">
        <v>-0.01032387639884836</v>
      </c>
      <c r="E453" s="173">
        <v>0.0027771520681766065</v>
      </c>
      <c r="F453" s="247">
        <v>177.32100954997122</v>
      </c>
      <c r="G453" s="246">
        <v>-2280.7243238993256</v>
      </c>
      <c r="H453" s="247">
        <v>14501.012000000008</v>
      </c>
      <c r="I453" s="247">
        <v>3705.896752688155</v>
      </c>
      <c r="J453" s="128">
        <v>87258.41495816568</v>
      </c>
    </row>
    <row r="454">
      <c r="A454" s="245">
        <v>42993.0</v>
      </c>
      <c r="B454" s="28">
        <v>-0.02542612685045192</v>
      </c>
      <c r="C454" s="28">
        <v>0.014299593082481857</v>
      </c>
      <c r="D454" s="173">
        <v>-0.011126533767970063</v>
      </c>
      <c r="E454" s="173">
        <v>0.00142940389744667</v>
      </c>
      <c r="F454" s="247">
        <v>315.7802468408845</v>
      </c>
      <c r="G454" s="246">
        <v>-2458.045333449297</v>
      </c>
      <c r="H454" s="247">
        <v>13817.062000000005</v>
      </c>
      <c r="I454" s="247">
        <v>3705.896752688155</v>
      </c>
      <c r="J454" s="128">
        <v>87081.09394861571</v>
      </c>
    </row>
    <row r="455">
      <c r="A455" s="245">
        <v>42992.0</v>
      </c>
      <c r="B455" s="28">
        <v>-0.02686579816929984</v>
      </c>
      <c r="C455" s="28">
        <v>0.014309860503883108</v>
      </c>
      <c r="D455" s="173">
        <v>-0.012555937665416734</v>
      </c>
      <c r="E455" s="173">
        <v>0.006783376157120024</v>
      </c>
      <c r="F455" s="247">
        <v>1498.5660813827817</v>
      </c>
      <c r="G455" s="246">
        <v>-2773.8255802901813</v>
      </c>
      <c r="H455" s="247">
        <v>13817.062000000005</v>
      </c>
      <c r="I455" s="247">
        <v>3705.896752688155</v>
      </c>
      <c r="J455" s="128">
        <v>86765.31370177484</v>
      </c>
    </row>
    <row r="456">
      <c r="A456" s="245">
        <v>42991.0</v>
      </c>
      <c r="B456" s="28">
        <v>-0.03366997354226854</v>
      </c>
      <c r="C456" s="28">
        <v>0.014330659719731784</v>
      </c>
      <c r="D456" s="173">
        <v>-0.019339313822536758</v>
      </c>
      <c r="E456" s="173">
        <v>-0.005475423036336807</v>
      </c>
      <c r="F456" s="247">
        <v>-1209.616428961228</v>
      </c>
      <c r="G456" s="246">
        <v>-4272.391661672963</v>
      </c>
      <c r="H456" s="247">
        <v>13817.062000000005</v>
      </c>
      <c r="I456" s="247">
        <v>3705.896752688155</v>
      </c>
      <c r="J456" s="128">
        <v>85266.74762039205</v>
      </c>
    </row>
    <row r="457">
      <c r="A457" s="245">
        <v>42990.0</v>
      </c>
      <c r="B457" s="28">
        <v>-0.028215410272627122</v>
      </c>
      <c r="C457" s="28">
        <v>0.014351519486427171</v>
      </c>
      <c r="D457" s="173">
        <v>-0.013863890786199951</v>
      </c>
      <c r="E457" s="173">
        <v>-0.0039425071985610995</v>
      </c>
      <c r="F457" s="247">
        <v>-870.9685894640825</v>
      </c>
      <c r="G457" s="246">
        <v>-3062.775232711735</v>
      </c>
      <c r="H457" s="247">
        <v>13817.062000000005</v>
      </c>
      <c r="I457" s="247">
        <v>3705.896752688155</v>
      </c>
      <c r="J457" s="128">
        <v>86476.36404935329</v>
      </c>
    </row>
    <row r="458">
      <c r="A458" s="245">
        <v>42989.0</v>
      </c>
      <c r="B458" s="28">
        <v>-0.024040519570049337</v>
      </c>
      <c r="C458" s="28">
        <v>0.014119135982410486</v>
      </c>
      <c r="D458" s="173">
        <v>-0.009921383587638851</v>
      </c>
      <c r="E458" s="173">
        <v>0.0035138484287708313</v>
      </c>
      <c r="F458" s="247">
        <v>776.2703922808532</v>
      </c>
      <c r="G458" s="246">
        <v>-2191.8066432476526</v>
      </c>
      <c r="H458" s="247">
        <v>13817.062000000005</v>
      </c>
      <c r="I458" s="247">
        <v>3705.896752688155</v>
      </c>
      <c r="J458" s="128">
        <v>87347.33263881737</v>
      </c>
    </row>
    <row r="459">
      <c r="A459" s="245">
        <v>42986.0</v>
      </c>
      <c r="B459" s="28">
        <v>-0.02759565202216055</v>
      </c>
      <c r="C459" s="28">
        <v>0.014160420005750867</v>
      </c>
      <c r="D459" s="173">
        <v>-0.013435232016409683</v>
      </c>
      <c r="E459" s="173">
        <v>0.0018084130489155418</v>
      </c>
      <c r="F459" s="247">
        <v>399.5099775486183</v>
      </c>
      <c r="G459" s="246">
        <v>-2968.077035528506</v>
      </c>
      <c r="H459" s="247">
        <v>13817.062000000005</v>
      </c>
      <c r="I459" s="247">
        <v>3705.896752688155</v>
      </c>
      <c r="J459" s="128">
        <v>86571.06224653652</v>
      </c>
    </row>
    <row r="460">
      <c r="A460" s="245">
        <v>42985.0</v>
      </c>
      <c r="B460" s="28">
        <v>-0.02944559122945073</v>
      </c>
      <c r="C460" s="28">
        <v>0.014201946164125505</v>
      </c>
      <c r="D460" s="173">
        <v>-0.015243645065325225</v>
      </c>
      <c r="E460" s="173">
        <v>-0.010091403576283232</v>
      </c>
      <c r="F460" s="247">
        <v>-2229.3670235417812</v>
      </c>
      <c r="G460" s="246">
        <v>-3367.587013077124</v>
      </c>
      <c r="H460" s="247">
        <v>13817.062000000005</v>
      </c>
      <c r="I460" s="247">
        <v>3705.896752688155</v>
      </c>
      <c r="J460" s="128">
        <v>86171.5522689879</v>
      </c>
    </row>
    <row r="461">
      <c r="A461" s="245">
        <v>42984.0</v>
      </c>
      <c r="B461" s="28">
        <v>-0.019375042199664013</v>
      </c>
      <c r="C461" s="28">
        <v>0.01422280071062202</v>
      </c>
      <c r="D461" s="173">
        <v>-0.005152241489041993</v>
      </c>
      <c r="E461" s="173">
        <v>0.009366204882141592</v>
      </c>
      <c r="F461" s="247">
        <v>2069.157986016558</v>
      </c>
      <c r="G461" s="246">
        <v>-1138.2199895353428</v>
      </c>
      <c r="H461" s="247">
        <v>13817.062000000005</v>
      </c>
      <c r="I461" s="247">
        <v>3705.896752688155</v>
      </c>
      <c r="J461" s="128">
        <v>88400.91929252968</v>
      </c>
    </row>
    <row r="462">
      <c r="A462" s="245">
        <v>42983.0</v>
      </c>
      <c r="B462" s="28">
        <v>-0.028762162965203578</v>
      </c>
      <c r="C462" s="28">
        <v>0.014243716594019993</v>
      </c>
      <c r="D462" s="173">
        <v>-0.014518446371183585</v>
      </c>
      <c r="E462" s="173">
        <v>0.005103166523763768</v>
      </c>
      <c r="F462" s="247">
        <v>1127.3784739378634</v>
      </c>
      <c r="G462" s="246">
        <v>-3207.377975551901</v>
      </c>
      <c r="H462" s="247">
        <v>13817.062000000005</v>
      </c>
      <c r="I462" s="247">
        <v>3705.896752688155</v>
      </c>
      <c r="J462" s="128">
        <v>86331.76130651313</v>
      </c>
    </row>
    <row r="463">
      <c r="A463" s="245">
        <v>42982.0</v>
      </c>
      <c r="B463" s="28">
        <v>-0.03393057392622646</v>
      </c>
      <c r="C463" s="28">
        <v>0.01430896103127911</v>
      </c>
      <c r="D463" s="173">
        <v>-0.019621612894947352</v>
      </c>
      <c r="E463" s="173">
        <v>-0.00857694929468882</v>
      </c>
      <c r="F463" s="247">
        <v>-3195.2873251372193</v>
      </c>
      <c r="G463" s="246">
        <v>-4334.756449489764</v>
      </c>
      <c r="H463" s="247">
        <v>13817.062000000005</v>
      </c>
      <c r="I463" s="247">
        <v>3705.896752688155</v>
      </c>
      <c r="J463" s="128">
        <v>85204.38283257527</v>
      </c>
    </row>
    <row r="464">
      <c r="A464" s="245">
        <v>42979.0</v>
      </c>
      <c r="B464" s="28">
        <v>-0.0205373484600852</v>
      </c>
      <c r="C464" s="28">
        <v>0.015379452664942658</v>
      </c>
      <c r="D464" s="173">
        <v>-0.005157895795142541</v>
      </c>
      <c r="E464" s="173">
        <v>0.005224007494245642</v>
      </c>
      <c r="F464" s="247">
        <v>1154.0743515379047</v>
      </c>
      <c r="G464" s="246">
        <v>-1139.4691243525451</v>
      </c>
      <c r="H464" s="247">
        <v>12947.37300000001</v>
      </c>
      <c r="I464" s="247">
        <v>3415.903827956974</v>
      </c>
      <c r="J464" s="128">
        <v>88399.67015771249</v>
      </c>
    </row>
    <row r="465">
      <c r="A465" s="245">
        <v>42978.0</v>
      </c>
      <c r="B465" s="28">
        <v>-0.02578414032864927</v>
      </c>
      <c r="C465" s="28">
        <v>0.015402237039261088</v>
      </c>
      <c r="D465" s="173">
        <v>-0.010381903289388183</v>
      </c>
      <c r="E465" s="173">
        <v>0.008910021021897406</v>
      </c>
      <c r="F465" s="247">
        <v>1968.3790163704994</v>
      </c>
      <c r="G465" s="246">
        <v>-2293.54347589045</v>
      </c>
      <c r="H465" s="247">
        <v>12947.37300000001</v>
      </c>
      <c r="I465" s="247">
        <v>3415.903827956974</v>
      </c>
      <c r="J465" s="128">
        <v>87245.59580617459</v>
      </c>
    </row>
    <row r="466">
      <c r="A466" s="245">
        <v>42977.0</v>
      </c>
      <c r="B466" s="28">
        <v>-0.03471701333428446</v>
      </c>
      <c r="C466" s="28">
        <v>0.01542508902299887</v>
      </c>
      <c r="D466" s="173">
        <v>-0.01929192431128559</v>
      </c>
      <c r="E466" s="173">
        <v>0.020529354797948422</v>
      </c>
      <c r="F466" s="247">
        <v>4535.292465034095</v>
      </c>
      <c r="G466" s="246">
        <v>-4261.922492260949</v>
      </c>
      <c r="H466" s="247">
        <v>12947.37300000001</v>
      </c>
      <c r="I466" s="247">
        <v>3415.903827956974</v>
      </c>
      <c r="J466" s="128">
        <v>85277.2167898041</v>
      </c>
    </row>
    <row r="467">
      <c r="A467" s="245">
        <v>42976.0</v>
      </c>
      <c r="B467" s="28">
        <v>-0.05526928802676928</v>
      </c>
      <c r="C467" s="28">
        <v>0.01544800891753527</v>
      </c>
      <c r="D467" s="173">
        <v>-0.03982127910923401</v>
      </c>
      <c r="E467" s="173">
        <v>-0.016815967025198015</v>
      </c>
      <c r="F467" s="247">
        <v>-3714.9449572950434</v>
      </c>
      <c r="G467" s="246">
        <v>-8797.214957295044</v>
      </c>
      <c r="H467" s="247">
        <v>12947.37300000001</v>
      </c>
      <c r="I467" s="247">
        <v>3415.903827956974</v>
      </c>
      <c r="J467" s="128">
        <v>80741.92432476999</v>
      </c>
    </row>
    <row r="468">
      <c r="A468" s="245">
        <v>42975.0</v>
      </c>
      <c r="B468" s="28">
        <v>-0.0385</v>
      </c>
      <c r="C468" s="28">
        <v>0.0155</v>
      </c>
      <c r="D468" s="28">
        <v>-0.023</v>
      </c>
      <c r="E468" s="28">
        <v>-0.0025</v>
      </c>
      <c r="F468" s="247">
        <v>-2446.4911963944896</v>
      </c>
      <c r="G468" s="246">
        <v>-5082.27</v>
      </c>
      <c r="H468" s="246">
        <v>12947.37</v>
      </c>
      <c r="I468" s="246">
        <v>3415.9</v>
      </c>
      <c r="J468" s="128">
        <v>84456.86928206503</v>
      </c>
    </row>
    <row r="469">
      <c r="A469" s="245">
        <v>42972.0</v>
      </c>
      <c r="B469" s="28">
        <v>-0.0274714318664925</v>
      </c>
      <c r="C469" s="28">
        <v>0.015540373694321732</v>
      </c>
      <c r="D469" s="173">
        <v>-0.011931058172170769</v>
      </c>
      <c r="E469" s="173">
        <v>-0.005478588054237194</v>
      </c>
      <c r="F469" s="247">
        <v>-1210.3156366068945</v>
      </c>
      <c r="G469" s="246">
        <v>-2635.778803605511</v>
      </c>
      <c r="H469" s="247">
        <v>12947.37300000001</v>
      </c>
      <c r="I469" s="247">
        <v>3415.903827956974</v>
      </c>
      <c r="J469" s="128">
        <v>86903.36047845952</v>
      </c>
    </row>
    <row r="470">
      <c r="A470" s="245">
        <v>42971.0</v>
      </c>
      <c r="B470" s="28">
        <v>-0.02201610784473183</v>
      </c>
      <c r="C470" s="28">
        <v>0.015563637726798255</v>
      </c>
      <c r="D470" s="173">
        <v>-0.0064524701179335744</v>
      </c>
      <c r="E470" s="173">
        <v>0.006591293400784723</v>
      </c>
      <c r="F470" s="247">
        <v>1456.1316509759615</v>
      </c>
      <c r="G470" s="246">
        <v>-1425.4631669986163</v>
      </c>
      <c r="H470" s="247">
        <v>12947.37300000001</v>
      </c>
      <c r="I470" s="247">
        <v>3415.903827956974</v>
      </c>
      <c r="J470" s="128">
        <v>88113.67611506642</v>
      </c>
    </row>
    <row r="471">
      <c r="A471" s="245">
        <v>42970.0</v>
      </c>
      <c r="B471" s="28">
        <v>-0.0286307350352119</v>
      </c>
      <c r="C471" s="28">
        <v>0.015586971516493603</v>
      </c>
      <c r="D471" s="173">
        <v>-0.013043763518718297</v>
      </c>
      <c r="E471" s="173">
        <v>-0.004667258772576182</v>
      </c>
      <c r="F471" s="247">
        <v>-1031.0788503564847</v>
      </c>
      <c r="G471" s="246">
        <v>-2881.594817974578</v>
      </c>
      <c r="H471" s="247">
        <v>12947.37300000001</v>
      </c>
      <c r="I471" s="247">
        <v>3415.903827956974</v>
      </c>
      <c r="J471" s="128">
        <v>86657.54446409046</v>
      </c>
    </row>
    <row r="472">
      <c r="A472" s="245">
        <v>42969.0</v>
      </c>
      <c r="B472" s="28">
        <v>-0.023986880123771603</v>
      </c>
      <c r="C472" s="28">
        <v>0.015610375377629488</v>
      </c>
      <c r="D472" s="173">
        <v>-0.008376504746142115</v>
      </c>
      <c r="E472" s="173">
        <v>0.0013694825134972066</v>
      </c>
      <c r="F472" s="247">
        <v>302.54256821946115</v>
      </c>
      <c r="G472" s="246">
        <v>-1850.515967618093</v>
      </c>
      <c r="H472" s="247">
        <v>12947.37300000001</v>
      </c>
      <c r="I472" s="247">
        <v>3415.903827956974</v>
      </c>
      <c r="J472" s="128">
        <v>87688.62331444694</v>
      </c>
    </row>
    <row r="473">
      <c r="A473" s="245">
        <v>42968.0</v>
      </c>
      <c r="B473" s="28">
        <v>-0.025379836885956974</v>
      </c>
      <c r="C473" s="28">
        <v>0.015633849626317652</v>
      </c>
      <c r="D473" s="173">
        <v>-0.009745987259639322</v>
      </c>
      <c r="E473" s="173">
        <v>-9.063927029613027E-4</v>
      </c>
      <c r="F473" s="247">
        <v>6.501982262656384</v>
      </c>
      <c r="G473" s="246">
        <v>-2153.0585358375542</v>
      </c>
      <c r="H473" s="247">
        <v>12947.37300000001</v>
      </c>
      <c r="I473" s="247">
        <v>3415.903827956974</v>
      </c>
      <c r="J473" s="128">
        <v>87386.08074622748</v>
      </c>
    </row>
    <row r="474">
      <c r="A474" s="245">
        <v>42965.0</v>
      </c>
      <c r="B474" s="28">
        <v>-0.025480116876542957</v>
      </c>
      <c r="C474" s="28">
        <v>0.015704697887464102</v>
      </c>
      <c r="D474" s="173">
        <v>-0.009775418989078855</v>
      </c>
      <c r="E474" s="173">
        <v>-0.0013919209508863536</v>
      </c>
      <c r="F474" s="247">
        <v>-307.4996103194062</v>
      </c>
      <c r="G474" s="246">
        <v>-2159.5605181002106</v>
      </c>
      <c r="H474" s="247">
        <v>12947.37300000001</v>
      </c>
      <c r="I474" s="247">
        <v>3415.903827956974</v>
      </c>
      <c r="J474" s="128">
        <v>87379.57876396482</v>
      </c>
    </row>
    <row r="475">
      <c r="A475" s="245">
        <v>42964.0</v>
      </c>
      <c r="B475" s="28">
        <v>-0.02411195492397349</v>
      </c>
      <c r="C475" s="28">
        <v>0.01572845688578099</v>
      </c>
      <c r="D475" s="173">
        <v>-0.008383498038192501</v>
      </c>
      <c r="E475" s="173">
        <v>0.0016692303781945667</v>
      </c>
      <c r="F475" s="247">
        <v>368.76209852383545</v>
      </c>
      <c r="G475" s="246">
        <v>-1852.0609077808044</v>
      </c>
      <c r="H475" s="247">
        <v>12947.37300000001</v>
      </c>
      <c r="I475" s="247">
        <v>3415.903827956974</v>
      </c>
      <c r="J475" s="128">
        <v>87687.07837428423</v>
      </c>
    </row>
    <row r="476">
      <c r="A476" s="245">
        <v>42963.0</v>
      </c>
      <c r="B476" s="28">
        <v>-0.02580501629744955</v>
      </c>
      <c r="C476" s="28">
        <v>0.015752287881062484</v>
      </c>
      <c r="D476" s="173">
        <v>-0.010052728416387068</v>
      </c>
      <c r="E476" s="173">
        <v>-0.001479772854131249</v>
      </c>
      <c r="F476" s="247">
        <v>-326.90762770460424</v>
      </c>
      <c r="G476" s="246">
        <v>-2220.82300630464</v>
      </c>
      <c r="H476" s="247">
        <v>12947.37300000001</v>
      </c>
      <c r="I476" s="247">
        <v>3415.903827956974</v>
      </c>
      <c r="J476" s="128">
        <v>87318.3162757604</v>
      </c>
    </row>
    <row r="477">
      <c r="A477" s="245">
        <v>42962.0</v>
      </c>
      <c r="B477" s="28">
        <v>-0.024108729877847415</v>
      </c>
      <c r="C477" s="28">
        <v>0.015535774315591597</v>
      </c>
      <c r="D477" s="173">
        <v>-0.008572955562255818</v>
      </c>
      <c r="E477" s="173">
        <v>0.0037456022942180655</v>
      </c>
      <c r="F477" s="247">
        <v>827.4688624739065</v>
      </c>
      <c r="G477" s="246">
        <v>-1893.9153786000356</v>
      </c>
      <c r="H477" s="247">
        <v>12947.37300000001</v>
      </c>
      <c r="I477" s="247">
        <v>3415.903827956974</v>
      </c>
      <c r="J477" s="128">
        <v>87645.223903465</v>
      </c>
    </row>
    <row r="478">
      <c r="A478" s="245">
        <v>42961.0</v>
      </c>
      <c r="B478" s="28">
        <v>-0.0278779427713293</v>
      </c>
      <c r="C478" s="28">
        <v>0.015559384914855414</v>
      </c>
      <c r="D478" s="173">
        <v>-0.012318557856473884</v>
      </c>
      <c r="E478" s="173">
        <v>0.003609398234019649</v>
      </c>
      <c r="F478" s="247">
        <v>-198.35499568639852</v>
      </c>
      <c r="G478" s="246">
        <v>-2721.384241073942</v>
      </c>
      <c r="H478" s="247">
        <v>12947.37300000001</v>
      </c>
      <c r="I478" s="247">
        <v>3415.903827956974</v>
      </c>
      <c r="J478" s="128">
        <v>86817.75504099109</v>
      </c>
    </row>
    <row r="479">
      <c r="A479" s="245">
        <v>42958.0</v>
      </c>
      <c r="B479" s="28">
        <v>-0.027051337783080123</v>
      </c>
      <c r="C479" s="28">
        <v>0.015630649273244063</v>
      </c>
      <c r="D479" s="173">
        <v>-0.01142068850983606</v>
      </c>
      <c r="E479" s="173">
        <v>6.317837995595231E-4</v>
      </c>
      <c r="F479" s="247">
        <v>139.5720583463858</v>
      </c>
      <c r="G479" s="246">
        <v>-2523.0292453875436</v>
      </c>
      <c r="H479" s="247">
        <v>12947.37300000001</v>
      </c>
      <c r="I479" s="247">
        <v>3415.903827956974</v>
      </c>
      <c r="J479" s="128">
        <v>87016.11003667749</v>
      </c>
    </row>
    <row r="480">
      <c r="A480" s="245">
        <v>42957.0</v>
      </c>
      <c r="B480" s="28">
        <v>-0.027707021657981005</v>
      </c>
      <c r="C480" s="28">
        <v>0.01565454934858542</v>
      </c>
      <c r="D480" s="173">
        <v>-0.012052472309395584</v>
      </c>
      <c r="E480" s="173">
        <v>0.004707183930787357</v>
      </c>
      <c r="F480" s="247">
        <v>1039.8990140188384</v>
      </c>
      <c r="G480" s="246">
        <v>-2662.6013037339294</v>
      </c>
      <c r="H480" s="247">
        <v>12947.37300000001</v>
      </c>
      <c r="I480" s="247">
        <v>3415.903827956974</v>
      </c>
      <c r="J480" s="128">
        <v>86876.53797833111</v>
      </c>
    </row>
    <row r="481">
      <c r="A481" s="245">
        <v>42956.0</v>
      </c>
      <c r="B481" s="28">
        <v>-0.03243817886495302</v>
      </c>
      <c r="C481" s="28">
        <v>0.015678522624770076</v>
      </c>
      <c r="D481" s="173">
        <v>-0.01675965624018294</v>
      </c>
      <c r="E481" s="173">
        <v>0.0050199695282302885</v>
      </c>
      <c r="F481" s="247">
        <v>1108.9988068382345</v>
      </c>
      <c r="G481" s="246">
        <v>-3702.500317752768</v>
      </c>
      <c r="H481" s="247">
        <v>12947.37300000001</v>
      </c>
      <c r="I481" s="247">
        <v>3415.903827956974</v>
      </c>
      <c r="J481" s="128">
        <v>85836.63896431227</v>
      </c>
    </row>
    <row r="482">
      <c r="A482" s="245">
        <v>42955.0</v>
      </c>
      <c r="B482" s="28">
        <v>-0.03748219520702498</v>
      </c>
      <c r="C482" s="28">
        <v>0.015702569438611754</v>
      </c>
      <c r="D482" s="173">
        <v>-0.02177962576841323</v>
      </c>
      <c r="E482" s="173">
        <v>4.908042170510829E-4</v>
      </c>
      <c r="F482" s="247">
        <v>108.42721017326767</v>
      </c>
      <c r="G482" s="246">
        <v>-4811.499124591002</v>
      </c>
      <c r="H482" s="247">
        <v>12947.37300000001</v>
      </c>
      <c r="I482" s="247">
        <v>3415.903827956974</v>
      </c>
      <c r="J482" s="128">
        <v>84727.64015747403</v>
      </c>
    </row>
    <row r="483">
      <c r="A483" s="245">
        <v>42954.0</v>
      </c>
      <c r="B483" s="28">
        <v>-0.03799712011445796</v>
      </c>
      <c r="C483" s="28">
        <v>0.015726690128993647</v>
      </c>
      <c r="D483" s="173">
        <v>-0.022270429985464312</v>
      </c>
      <c r="E483" s="173">
        <v>-0.004006345582967183</v>
      </c>
      <c r="F483" s="247">
        <v>328.30820272172605</v>
      </c>
      <c r="G483" s="246">
        <v>-4919.92633476427</v>
      </c>
      <c r="H483" s="247">
        <v>12947.37300000001</v>
      </c>
      <c r="I483" s="247">
        <v>3415.903827956974</v>
      </c>
      <c r="J483" s="128">
        <v>84619.21294730077</v>
      </c>
    </row>
    <row r="484">
      <c r="A484" s="245">
        <v>42951.0</v>
      </c>
      <c r="B484" s="28">
        <v>-0.03955604153115428</v>
      </c>
      <c r="C484" s="28">
        <v>0.015799498879590843</v>
      </c>
      <c r="D484" s="173">
        <v>-0.023756542651563437</v>
      </c>
      <c r="E484" s="173">
        <v>0.00547411030483827</v>
      </c>
      <c r="F484" s="247">
        <v>1209.3264236818359</v>
      </c>
      <c r="G484" s="246">
        <v>-5248.234537485996</v>
      </c>
      <c r="H484" s="247">
        <v>12947.37300000001</v>
      </c>
      <c r="I484" s="247">
        <v>3415.903827956974</v>
      </c>
      <c r="J484" s="128">
        <v>84290.90474457903</v>
      </c>
    </row>
    <row r="485">
      <c r="A485" s="245">
        <v>42950.0</v>
      </c>
      <c r="B485" s="28">
        <v>-0.04505457146331804</v>
      </c>
      <c r="C485" s="28">
        <v>0.01582391850691633</v>
      </c>
      <c r="D485" s="173">
        <v>-0.029230652956401707</v>
      </c>
      <c r="E485" s="173">
        <v>1.3922963888161888E-4</v>
      </c>
      <c r="F485" s="247">
        <v>30.758255110497885</v>
      </c>
      <c r="G485" s="246">
        <v>-6457.560961167832</v>
      </c>
      <c r="H485" s="247">
        <v>12620.968000000008</v>
      </c>
      <c r="I485" s="247">
        <v>3175.426064516115</v>
      </c>
      <c r="J485" s="128">
        <v>83081.5783208972</v>
      </c>
    </row>
    <row r="486">
      <c r="A486" s="245">
        <v>42949.0</v>
      </c>
      <c r="B486" s="28">
        <v>-0.0462189676339003</v>
      </c>
      <c r="C486" s="28">
        <v>0.016849085038616974</v>
      </c>
      <c r="D486" s="173">
        <v>-0.029369882595283326</v>
      </c>
      <c r="E486" s="173">
        <v>0.002228795114089962</v>
      </c>
      <c r="F486" s="247">
        <v>492.37970635332204</v>
      </c>
      <c r="G486" s="246">
        <v>-6488.31921627833</v>
      </c>
      <c r="H486" s="247">
        <v>11960.918000000009</v>
      </c>
      <c r="I486" s="247">
        <v>3175.426064516115</v>
      </c>
      <c r="J486" s="128">
        <v>83050.8200657867</v>
      </c>
    </row>
    <row r="487">
      <c r="A487" s="245">
        <v>42948.0</v>
      </c>
      <c r="B487" s="28">
        <v>-0.04847388536045323</v>
      </c>
      <c r="C487" s="28">
        <v>0.016875207651079947</v>
      </c>
      <c r="D487" s="173">
        <v>-0.03159867770937329</v>
      </c>
      <c r="E487" s="173">
        <v>-0.009810537912870298</v>
      </c>
      <c r="F487" s="247">
        <v>-2167.3189007682986</v>
      </c>
      <c r="G487" s="246">
        <v>-6980.698922631652</v>
      </c>
      <c r="H487" s="247">
        <v>11960.918000000009</v>
      </c>
      <c r="I487" s="247">
        <v>3175.426064516115</v>
      </c>
      <c r="J487" s="128">
        <v>82558.44035943337</v>
      </c>
    </row>
    <row r="488">
      <c r="A488" s="245">
        <v>42947.0</v>
      </c>
      <c r="B488" s="28">
        <v>-0.03868955118617156</v>
      </c>
      <c r="C488" s="28">
        <v>0.01690141138966857</v>
      </c>
      <c r="D488" s="173">
        <v>-0.02178813979650299</v>
      </c>
      <c r="E488" s="173">
        <v>0.004505988493791118</v>
      </c>
      <c r="F488" s="247">
        <v>1149.0019753765637</v>
      </c>
      <c r="G488" s="246">
        <v>-4813.380021863353</v>
      </c>
      <c r="H488" s="247">
        <v>11960.918000000009</v>
      </c>
      <c r="I488" s="247">
        <v>3175.426064516115</v>
      </c>
      <c r="J488" s="128">
        <v>84725.75926020167</v>
      </c>
    </row>
    <row r="489">
      <c r="A489" s="245">
        <v>42944.0</v>
      </c>
      <c r="B489" s="28">
        <v>-0.04396969994378509</v>
      </c>
      <c r="C489" s="28">
        <v>0.016980513159043</v>
      </c>
      <c r="D489" s="173">
        <v>-0.026989186784742093</v>
      </c>
      <c r="E489" s="173">
        <v>-0.0034925926245251183</v>
      </c>
      <c r="F489" s="247">
        <v>-771.5746144650084</v>
      </c>
      <c r="G489" s="246">
        <v>-5962.381997239917</v>
      </c>
      <c r="H489" s="247">
        <v>11960.918000000009</v>
      </c>
      <c r="I489" s="247">
        <v>3175.426064516115</v>
      </c>
      <c r="J489" s="128">
        <v>83576.7572848251</v>
      </c>
    </row>
    <row r="490">
      <c r="A490" s="245">
        <v>42943.0</v>
      </c>
      <c r="B490" s="28">
        <v>-0.04050363937107098</v>
      </c>
      <c r="C490" s="28">
        <v>0.017007045210854006</v>
      </c>
      <c r="D490" s="173">
        <v>-0.023496594160216974</v>
      </c>
      <c r="E490" s="173">
        <v>-0.0090262904827909</v>
      </c>
      <c r="F490" s="247">
        <v>-1994.0649677846432</v>
      </c>
      <c r="G490" s="246">
        <v>-5190.807382774909</v>
      </c>
      <c r="H490" s="247">
        <v>11960.918000000009</v>
      </c>
      <c r="I490" s="247">
        <v>3175.426064516115</v>
      </c>
      <c r="J490" s="128">
        <v>84348.3318992901</v>
      </c>
    </row>
    <row r="491">
      <c r="A491" s="245">
        <v>42942.0</v>
      </c>
      <c r="B491" s="28">
        <v>-0.03150396398250676</v>
      </c>
      <c r="C491" s="28">
        <v>0.017033660305080685</v>
      </c>
      <c r="D491" s="173">
        <v>-0.014470303677426074</v>
      </c>
      <c r="E491" s="173">
        <v>-0.008457639190101934</v>
      </c>
      <c r="F491" s="247">
        <v>-1868.4399811083988</v>
      </c>
      <c r="G491" s="246">
        <v>-3196.7424149902654</v>
      </c>
      <c r="H491" s="247">
        <v>11960.918000000009</v>
      </c>
      <c r="I491" s="247">
        <v>3175.426064516115</v>
      </c>
      <c r="J491" s="128">
        <v>86342.39686707474</v>
      </c>
    </row>
    <row r="492">
      <c r="A492" s="245">
        <v>42941.0</v>
      </c>
      <c r="B492" s="28">
        <v>-0.02307302331952878</v>
      </c>
      <c r="C492" s="28">
        <v>0.01706035883220464</v>
      </c>
      <c r="D492" s="173">
        <v>-0.00601266448732414</v>
      </c>
      <c r="E492" s="173">
        <v>-0.003620116118165144</v>
      </c>
      <c r="F492" s="247">
        <v>-799.7467779602893</v>
      </c>
      <c r="G492" s="246">
        <v>-1328.3024338818666</v>
      </c>
      <c r="H492" s="247">
        <v>11960.918000000009</v>
      </c>
      <c r="I492" s="247">
        <v>3175.426064516115</v>
      </c>
      <c r="J492" s="128">
        <v>88210.83684818314</v>
      </c>
    </row>
    <row r="493">
      <c r="A493" s="245">
        <v>42940.0</v>
      </c>
      <c r="B493" s="28">
        <v>-0.019452907201363636</v>
      </c>
      <c r="C493" s="28">
        <v>0.01706035883220464</v>
      </c>
      <c r="D493" s="173">
        <v>-0.0023925483691589963</v>
      </c>
      <c r="E493" s="173">
        <v>0.0011853469138786432</v>
      </c>
      <c r="F493" s="247">
        <v>783.502565593816</v>
      </c>
      <c r="G493" s="246">
        <v>-528.5556559215773</v>
      </c>
      <c r="H493" s="247">
        <v>11960.918000000009</v>
      </c>
      <c r="I493" s="247">
        <v>3175.426064516115</v>
      </c>
      <c r="J493" s="128">
        <v>89010.58362614343</v>
      </c>
    </row>
    <row r="494">
      <c r="A494" s="245">
        <v>42937.0</v>
      </c>
      <c r="B494" s="28">
        <v>-0.02289786917049772</v>
      </c>
      <c r="C494" s="28">
        <v>0.0169587353764322</v>
      </c>
      <c r="D494" s="173">
        <v>-0.005939133794065521</v>
      </c>
      <c r="E494" s="173">
        <v>-0.015933069157182768</v>
      </c>
      <c r="F494" s="247">
        <v>-3519.892817121534</v>
      </c>
      <c r="G494" s="246">
        <v>-1312.0582215153934</v>
      </c>
      <c r="H494" s="247">
        <v>11960.918000000009</v>
      </c>
      <c r="I494" s="247">
        <v>3175.426064516115</v>
      </c>
      <c r="J494" s="128">
        <v>88227.08106054961</v>
      </c>
    </row>
    <row r="495">
      <c r="A495" s="245">
        <v>42936.0</v>
      </c>
      <c r="B495" s="28">
        <v>-0.006964800013314953</v>
      </c>
      <c r="C495" s="28">
        <v>0.0169587353764322</v>
      </c>
      <c r="D495" s="173">
        <v>0.009993935363117247</v>
      </c>
      <c r="E495" s="173">
        <v>0.006786519207945646</v>
      </c>
      <c r="F495" s="247">
        <v>1499.2604361185718</v>
      </c>
      <c r="G495" s="246">
        <v>2207.8345956061403</v>
      </c>
      <c r="H495" s="247">
        <v>11960.918000000009</v>
      </c>
      <c r="I495" s="247">
        <v>3175.426064516115</v>
      </c>
      <c r="J495" s="128">
        <v>91746.97387767115</v>
      </c>
    </row>
    <row r="496">
      <c r="A496" s="245">
        <v>42935.0</v>
      </c>
      <c r="B496" s="28">
        <v>-0.0137513192212606</v>
      </c>
      <c r="C496" s="28">
        <v>0.0169587353764322</v>
      </c>
      <c r="D496" s="173">
        <v>0.0032074161551716007</v>
      </c>
      <c r="E496" s="173">
        <v>0.008605436556728989</v>
      </c>
      <c r="F496" s="247">
        <v>1901.0909966815989</v>
      </c>
      <c r="G496" s="246">
        <v>708.5741594875686</v>
      </c>
      <c r="H496" s="247">
        <v>11960.918000000009</v>
      </c>
      <c r="I496" s="247">
        <v>3175.426064516115</v>
      </c>
      <c r="J496" s="128">
        <v>90247.71344155258</v>
      </c>
    </row>
    <row r="497">
      <c r="A497" s="245">
        <v>42934.0</v>
      </c>
      <c r="B497" s="28">
        <v>-0.02235675577798959</v>
      </c>
      <c r="C497" s="28">
        <v>0.0169587353764322</v>
      </c>
      <c r="D497" s="173">
        <v>-0.005398020401557388</v>
      </c>
      <c r="E497" s="173">
        <v>-0.006123281804687648</v>
      </c>
      <c r="F497" s="247">
        <v>-1352.7397282283569</v>
      </c>
      <c r="G497" s="246">
        <v>-1192.5168371940301</v>
      </c>
      <c r="H497" s="247">
        <v>11960.918000000009</v>
      </c>
      <c r="I497" s="247">
        <v>3175.426064516115</v>
      </c>
      <c r="J497" s="128">
        <v>88346.62244487098</v>
      </c>
    </row>
    <row r="498">
      <c r="A498" s="245">
        <v>42933.0</v>
      </c>
      <c r="B498" s="28">
        <v>-0.01623347397330194</v>
      </c>
      <c r="C498" s="28">
        <v>0.0169587353764322</v>
      </c>
      <c r="D498" s="173">
        <v>7.252614031302597E-4</v>
      </c>
      <c r="E498" s="173">
        <v>0.003177646629622735</v>
      </c>
      <c r="F498" s="247">
        <v>318.30154470619095</v>
      </c>
      <c r="G498" s="246">
        <v>160.2228910343267</v>
      </c>
      <c r="H498" s="247">
        <v>11960.918000000009</v>
      </c>
      <c r="I498" s="247">
        <v>3175.426064516115</v>
      </c>
      <c r="J498" s="128">
        <v>89699.36217309935</v>
      </c>
    </row>
    <row r="499">
      <c r="A499" s="245">
        <v>42930.0</v>
      </c>
      <c r="B499" s="28">
        <v>-0.017674290722031576</v>
      </c>
      <c r="C499" s="28">
        <v>0.0169587353764322</v>
      </c>
      <c r="D499" s="173">
        <v>-7.155553455993752E-4</v>
      </c>
      <c r="E499" s="173">
        <v>-0.00714203961709879</v>
      </c>
      <c r="F499" s="247">
        <v>-1577.8010940528982</v>
      </c>
      <c r="G499" s="246">
        <v>-158.0786536718643</v>
      </c>
      <c r="H499" s="247">
        <v>11960.918000000009</v>
      </c>
      <c r="I499" s="247">
        <v>3175.426064516115</v>
      </c>
      <c r="J499" s="128">
        <v>89381.06062839316</v>
      </c>
    </row>
    <row r="500">
      <c r="A500" s="245">
        <v>42929.0</v>
      </c>
      <c r="B500" s="28">
        <v>-0.010532251104932786</v>
      </c>
      <c r="C500" s="28">
        <v>0.0169587353764322</v>
      </c>
      <c r="D500" s="173">
        <v>0.006426484271499415</v>
      </c>
      <c r="E500" s="173">
        <v>0.01668091788574142</v>
      </c>
      <c r="F500" s="247">
        <v>3685.10564221998</v>
      </c>
      <c r="G500" s="246">
        <v>1419.722440381034</v>
      </c>
      <c r="H500" s="247">
        <v>11960.918000000009</v>
      </c>
      <c r="I500" s="247">
        <v>3175.426064516115</v>
      </c>
      <c r="J500" s="128">
        <v>90958.86172244605</v>
      </c>
    </row>
    <row r="501">
      <c r="A501" s="245">
        <v>42928.0</v>
      </c>
      <c r="B501" s="28">
        <v>-0.02721316899067421</v>
      </c>
      <c r="C501" s="28">
        <v>0.0169587353764322</v>
      </c>
      <c r="D501" s="173">
        <v>-0.010254433614242008</v>
      </c>
      <c r="E501" s="173">
        <v>-0.005060844887564326</v>
      </c>
      <c r="F501" s="247">
        <v>-1118.0288864982026</v>
      </c>
      <c r="G501" s="246">
        <v>-2265.3832018389458</v>
      </c>
      <c r="H501" s="247">
        <v>11960.918000000009</v>
      </c>
      <c r="I501" s="247">
        <v>3175.426064516115</v>
      </c>
      <c r="J501" s="128">
        <v>87273.75608022607</v>
      </c>
    </row>
    <row r="502">
      <c r="A502" s="245">
        <v>42927.0</v>
      </c>
      <c r="B502" s="28">
        <v>-0.022181104127751584</v>
      </c>
      <c r="C502" s="28">
        <v>0.0169875154010739</v>
      </c>
      <c r="D502" s="173">
        <v>-0.005193588726677682</v>
      </c>
      <c r="E502" s="173">
        <v>2.3996731018824033E-4</v>
      </c>
      <c r="F502" s="247">
        <v>53.01296336210157</v>
      </c>
      <c r="G502" s="246">
        <v>-1147.3543153407431</v>
      </c>
      <c r="H502" s="247">
        <v>11960.918000000009</v>
      </c>
      <c r="I502" s="247">
        <v>3175.426064516115</v>
      </c>
      <c r="J502" s="128">
        <v>88391.78496672427</v>
      </c>
    </row>
    <row r="503">
      <c r="A503" s="245">
        <v>42926.0</v>
      </c>
      <c r="B503" s="28">
        <v>-0.02244994385431392</v>
      </c>
      <c r="C503" s="28">
        <v>0.017016387817448</v>
      </c>
      <c r="D503" s="173">
        <v>-0.005433556036865923</v>
      </c>
      <c r="E503" s="173">
        <v>9.921801330867383E-4</v>
      </c>
      <c r="F503" s="247">
        <v>-63.93897323475517</v>
      </c>
      <c r="G503" s="246">
        <v>-1200.3672787028447</v>
      </c>
      <c r="H503" s="247">
        <v>11960.918000000009</v>
      </c>
      <c r="I503" s="247">
        <v>3175.426064516115</v>
      </c>
      <c r="J503" s="128">
        <v>88338.77200336217</v>
      </c>
    </row>
    <row r="504">
      <c r="A504" s="245">
        <v>42923.0</v>
      </c>
      <c r="B504" s="28">
        <v>-0.021107158246345275</v>
      </c>
      <c r="C504" s="28">
        <v>0.0159630269548674</v>
      </c>
      <c r="D504" s="173">
        <v>-0.005144131291477876</v>
      </c>
      <c r="E504" s="173">
        <v>-0.020592649657801478</v>
      </c>
      <c r="F504" s="247">
        <v>-4549.275403309175</v>
      </c>
      <c r="G504" s="246">
        <v>-1136.4283054680895</v>
      </c>
      <c r="H504" s="247">
        <v>11960.918000000009</v>
      </c>
      <c r="I504" s="247">
        <v>3175.426064516115</v>
      </c>
      <c r="J504" s="128">
        <v>88402.71097659692</v>
      </c>
    </row>
    <row r="505">
      <c r="A505" s="245">
        <v>42922.0</v>
      </c>
      <c r="B505" s="28">
        <v>-7.092084828310034E-5</v>
      </c>
      <c r="C505" s="28">
        <v>0.0155194392146067</v>
      </c>
      <c r="D505" s="173">
        <v>0.0154485183663236</v>
      </c>
      <c r="E505" s="173">
        <v>0.0017108340889227455</v>
      </c>
      <c r="F505" s="247">
        <v>377.95308370773546</v>
      </c>
      <c r="G505" s="246">
        <v>3412.847097841086</v>
      </c>
      <c r="H505" s="247">
        <v>11960.918000000009</v>
      </c>
      <c r="I505" s="247">
        <v>3175.426064516115</v>
      </c>
      <c r="J505" s="128">
        <v>92951.9863799061</v>
      </c>
    </row>
    <row r="506">
      <c r="A506" s="245">
        <v>42921.0</v>
      </c>
      <c r="B506" s="28">
        <v>-0.0012764625491132585</v>
      </c>
      <c r="C506" s="28">
        <v>0.015014146826514113</v>
      </c>
      <c r="D506" s="173">
        <v>0.013737684277400854</v>
      </c>
      <c r="E506" s="173">
        <v>-2.4368327987391893E-4</v>
      </c>
      <c r="F506" s="247">
        <v>-53.83388586461706</v>
      </c>
      <c r="G506" s="246">
        <v>3034.8940141333505</v>
      </c>
      <c r="H506" s="247">
        <v>10093.758000000009</v>
      </c>
      <c r="I506" s="247">
        <v>3175.426064516115</v>
      </c>
      <c r="J506" s="128">
        <v>92574.03329619837</v>
      </c>
    </row>
    <row r="507">
      <c r="A507" s="245">
        <v>42920.0</v>
      </c>
      <c r="B507" s="28">
        <v>-0.0010571133807896057</v>
      </c>
      <c r="C507" s="28">
        <v>0.01503848093806438</v>
      </c>
      <c r="D507" s="173">
        <v>0.013981367557274773</v>
      </c>
      <c r="E507" s="173">
        <v>0.0013713229038275487</v>
      </c>
      <c r="F507" s="247">
        <v>302.9491425360957</v>
      </c>
      <c r="G507" s="246">
        <v>3088.7278999979676</v>
      </c>
      <c r="H507" s="247">
        <v>10378.718000000012</v>
      </c>
      <c r="I507" s="247">
        <v>3281.3609462365494</v>
      </c>
      <c r="J507" s="128">
        <v>72567.58200000008</v>
      </c>
    </row>
    <row r="508">
      <c r="A508" s="245">
        <v>42919.0</v>
      </c>
      <c r="B508" s="28">
        <v>-0.002389955346552775</v>
      </c>
      <c r="C508" s="28">
        <v>0.015</v>
      </c>
      <c r="D508" s="173">
        <v>0.012610044653447224</v>
      </c>
      <c r="E508" s="173">
        <v>0.0031699689841489173</v>
      </c>
      <c r="F508" s="247">
        <v>-3004.4268240819542</v>
      </c>
      <c r="G508" s="246">
        <v>2785.778757461872</v>
      </c>
      <c r="H508" s="247">
        <v>14440.72000000001</v>
      </c>
      <c r="I508" s="247">
        <v>0.0</v>
      </c>
      <c r="J508" s="128">
        <v>72649.20000000006</v>
      </c>
    </row>
    <row r="509">
      <c r="A509" s="245">
        <v>42916.0</v>
      </c>
      <c r="B509" s="28">
        <v>0.012234291348430936</v>
      </c>
      <c r="C509" s="28">
        <v>0.013975525472209505</v>
      </c>
      <c r="D509" s="173">
        <v>0.02620981682064044</v>
      </c>
      <c r="E509" s="173">
        <v>-0.010354457523418431</v>
      </c>
      <c r="F509" s="247">
        <v>-2287.480227589429</v>
      </c>
      <c r="G509" s="246">
        <v>5790.205581543826</v>
      </c>
      <c r="H509" s="247">
        <v>14440.72000000001</v>
      </c>
      <c r="I509" s="247">
        <v>0.0</v>
      </c>
      <c r="J509" s="128">
        <v>58410.16300000009</v>
      </c>
    </row>
    <row r="510">
      <c r="A510" s="245">
        <v>42915.0</v>
      </c>
      <c r="B510" s="28">
        <v>0.022972595973944365</v>
      </c>
      <c r="C510" s="28">
        <v>0.013591678370114504</v>
      </c>
      <c r="D510" s="173">
        <v>0.03656427434405887</v>
      </c>
      <c r="E510" s="173">
        <v>0.0038947041436468016</v>
      </c>
      <c r="F510" s="247">
        <v>860.408061045523</v>
      </c>
      <c r="G510" s="246">
        <v>8077.685809133255</v>
      </c>
      <c r="H510" s="247">
        <v>14440.72000000001</v>
      </c>
      <c r="I510" s="247">
        <v>0.0</v>
      </c>
      <c r="J510" s="128">
        <v>58378.974000000075</v>
      </c>
    </row>
    <row r="511">
      <c r="A511" s="245">
        <v>42914.0</v>
      </c>
      <c r="B511" s="28">
        <v>0.01905564685751505</v>
      </c>
      <c r="C511" s="28">
        <v>0.013613923342897016</v>
      </c>
      <c r="D511" s="173">
        <v>0.03266957020041207</v>
      </c>
      <c r="E511" s="173">
        <v>-0.018333971869656837</v>
      </c>
      <c r="F511" s="247">
        <v>-4050.294093164155</v>
      </c>
      <c r="G511" s="246">
        <v>7217.277748087732</v>
      </c>
      <c r="H511" s="247">
        <v>14440.72000000001</v>
      </c>
      <c r="I511" s="247">
        <v>0.0</v>
      </c>
      <c r="J511" s="128">
        <v>59469.04200000006</v>
      </c>
    </row>
    <row r="512">
      <c r="A512" s="245">
        <v>42913.0</v>
      </c>
      <c r="B512" s="28">
        <v>0.03736730082005239</v>
      </c>
      <c r="C512" s="28">
        <v>0.013636241250016518</v>
      </c>
      <c r="D512" s="173">
        <v>0.05100354207006891</v>
      </c>
      <c r="E512" s="173">
        <v>-0.004009134496780878</v>
      </c>
      <c r="F512" s="247">
        <v>-885.6877214853157</v>
      </c>
      <c r="G512" s="246">
        <v>11267.571841251887</v>
      </c>
      <c r="H512" s="247">
        <v>14440.72000000001</v>
      </c>
      <c r="I512" s="247">
        <v>0.0</v>
      </c>
      <c r="J512" s="128">
        <v>59739.974000000075</v>
      </c>
    </row>
    <row r="513">
      <c r="A513" s="245">
        <v>42912.0</v>
      </c>
      <c r="B513" s="28">
        <v>0.04135404411609432</v>
      </c>
      <c r="C513" s="28">
        <v>0.013658632450755468</v>
      </c>
      <c r="D513" s="173">
        <v>0.055012676566849786</v>
      </c>
      <c r="E513" s="173">
        <v>-0.0024929451900223554</v>
      </c>
      <c r="F513" s="247">
        <v>-218.11696329420192</v>
      </c>
      <c r="G513" s="246">
        <v>12153.259562737203</v>
      </c>
      <c r="H513" s="247">
        <v>14440.72000000001</v>
      </c>
      <c r="I513" s="247">
        <v>0.0</v>
      </c>
      <c r="J513" s="128">
        <v>60708.73800000007</v>
      </c>
    </row>
    <row r="514">
      <c r="A514" s="245">
        <v>42909.0</v>
      </c>
      <c r="B514" s="28">
        <v>0.0423</v>
      </c>
      <c r="C514" s="28">
        <v>0.0137</v>
      </c>
      <c r="D514" s="173">
        <v>0.055999999999999994</v>
      </c>
      <c r="E514" s="173">
        <v>1.9999999999999185E-4</v>
      </c>
      <c r="F514" s="247">
        <v>44.18348759296896</v>
      </c>
      <c r="G514" s="246">
        <v>12371.376526031405</v>
      </c>
      <c r="H514" s="247">
        <v>14440.72000000001</v>
      </c>
      <c r="I514" s="247">
        <v>0.0</v>
      </c>
      <c r="J514" s="128">
        <v>61350.69800000006</v>
      </c>
    </row>
    <row r="515">
      <c r="A515" s="245">
        <v>42908.0</v>
      </c>
      <c r="B515" s="28">
        <v>0.0421</v>
      </c>
      <c r="C515" s="28">
        <v>0.0137</v>
      </c>
      <c r="D515" s="173">
        <v>0.0558</v>
      </c>
      <c r="E515" s="173">
        <v>-0.0021000000000000046</v>
      </c>
      <c r="F515" s="247">
        <v>-463.9266197261786</v>
      </c>
      <c r="G515" s="246">
        <v>12327.193038438436</v>
      </c>
      <c r="H515" s="247">
        <v>14440.72000000001</v>
      </c>
      <c r="I515" s="247">
        <v>0.0</v>
      </c>
      <c r="J515" s="128">
        <v>61432.113000000085</v>
      </c>
    </row>
    <row r="516">
      <c r="A516" s="245">
        <v>42907.0</v>
      </c>
      <c r="B516" s="28">
        <v>0.0442</v>
      </c>
      <c r="C516" s="28">
        <v>0.0137</v>
      </c>
      <c r="D516" s="173">
        <v>0.05790000000000001</v>
      </c>
      <c r="E516" s="173">
        <v>0.004100000000000006</v>
      </c>
      <c r="F516" s="247">
        <v>905.7614956558718</v>
      </c>
      <c r="G516" s="246">
        <v>12791.119658164615</v>
      </c>
      <c r="H516" s="247">
        <v>14440.72000000001</v>
      </c>
      <c r="I516" s="247">
        <v>0.0</v>
      </c>
      <c r="J516" s="128">
        <v>61285.04700000008</v>
      </c>
    </row>
    <row r="517">
      <c r="A517" s="245">
        <v>42906.0</v>
      </c>
      <c r="B517" s="28">
        <v>0.0402</v>
      </c>
      <c r="C517" s="28">
        <v>0.0136</v>
      </c>
      <c r="D517" s="173">
        <v>0.0538</v>
      </c>
      <c r="E517" s="173">
        <v>0.002700000000000001</v>
      </c>
      <c r="F517" s="247">
        <v>596.4770825050855</v>
      </c>
      <c r="G517" s="246">
        <v>11885.358162508743</v>
      </c>
      <c r="H517" s="247">
        <v>14440.72000000001</v>
      </c>
      <c r="I517" s="247">
        <v>0.0</v>
      </c>
      <c r="J517" s="128">
        <v>61312.66400000008</v>
      </c>
    </row>
    <row r="518">
      <c r="A518" s="245">
        <v>42905.0</v>
      </c>
      <c r="B518" s="28">
        <v>0.0376</v>
      </c>
      <c r="C518" s="28">
        <v>0.0135</v>
      </c>
      <c r="D518" s="173">
        <v>0.0511</v>
      </c>
      <c r="E518" s="173">
        <v>0.0022999999999999965</v>
      </c>
      <c r="F518" s="247">
        <v>1415.5971436611526</v>
      </c>
      <c r="G518" s="246">
        <v>11288.881080003657</v>
      </c>
      <c r="H518" s="247">
        <v>14440.72000000001</v>
      </c>
      <c r="I518" s="247">
        <v>0.0</v>
      </c>
      <c r="J518" s="128">
        <v>61315.21600000007</v>
      </c>
    </row>
    <row r="519">
      <c r="A519" s="245">
        <v>42902.0</v>
      </c>
      <c r="B519" s="28">
        <v>0.031492189205605356</v>
      </c>
      <c r="C519" s="28">
        <v>0.0132</v>
      </c>
      <c r="D519" s="173">
        <v>0.04469218920560536</v>
      </c>
      <c r="E519" s="173">
        <v>-0.0010078107943946382</v>
      </c>
      <c r="F519" s="247">
        <v>-44.528595730194866</v>
      </c>
      <c r="G519" s="246">
        <v>9873.283936342505</v>
      </c>
      <c r="H519" s="247">
        <v>14440.72000000001</v>
      </c>
      <c r="I519" s="247">
        <v>0.0</v>
      </c>
      <c r="J519" s="128">
        <v>61344.85200000007</v>
      </c>
    </row>
    <row r="520">
      <c r="A520" s="245">
        <v>42901.0</v>
      </c>
      <c r="B520" s="241">
        <v>0.031713751364484295</v>
      </c>
      <c r="C520" s="241">
        <v>0.013179999999999997</v>
      </c>
      <c r="D520" s="241">
        <v>0.04489375136448429</v>
      </c>
      <c r="E520" s="241">
        <v>-0.0010078107943946382</v>
      </c>
      <c r="F520" s="247">
        <v>-44.528595730196685</v>
      </c>
      <c r="G520" s="246">
        <v>9917.8125320727</v>
      </c>
      <c r="H520" s="247">
        <v>11692.51500000001</v>
      </c>
      <c r="I520" s="247">
        <v>0.0</v>
      </c>
      <c r="J520" s="128">
        <v>61642.29300000008</v>
      </c>
    </row>
    <row r="521">
      <c r="A521" s="245">
        <v>42900.0</v>
      </c>
      <c r="B521" s="241">
        <v>0.03193531352336322</v>
      </c>
      <c r="C521" s="241">
        <v>0.013159999999999998</v>
      </c>
      <c r="D521" s="241">
        <v>0.04509531352336322</v>
      </c>
      <c r="E521" s="241">
        <v>-0.0010078107943946382</v>
      </c>
      <c r="F521" s="247">
        <v>-44.528595730196685</v>
      </c>
      <c r="G521" s="246">
        <v>9962.341127802896</v>
      </c>
      <c r="H521" s="247">
        <v>11692.51500000001</v>
      </c>
      <c r="I521" s="247">
        <v>0.0</v>
      </c>
      <c r="J521" s="128">
        <v>54845.11200000005</v>
      </c>
    </row>
    <row r="522">
      <c r="A522" s="245">
        <v>42899.0</v>
      </c>
      <c r="B522" s="241">
        <v>0.032156875682242146</v>
      </c>
      <c r="C522" s="241">
        <v>0.013139999999999999</v>
      </c>
      <c r="D522" s="241">
        <v>0.045296875682242145</v>
      </c>
      <c r="E522" s="241">
        <v>-0.0010078107943946382</v>
      </c>
      <c r="F522" s="247">
        <v>-44.528595730196685</v>
      </c>
      <c r="G522" s="246">
        <v>10006.869723533093</v>
      </c>
      <c r="H522" s="247">
        <v>11692.51500000001</v>
      </c>
      <c r="I522" s="247">
        <v>0.0</v>
      </c>
      <c r="J522" s="128">
        <v>54656.06900000006</v>
      </c>
    </row>
    <row r="523">
      <c r="A523" s="245">
        <v>42898.0</v>
      </c>
      <c r="B523" s="241">
        <v>0.03237843784112107</v>
      </c>
      <c r="C523" s="241">
        <v>0.01312</v>
      </c>
      <c r="D523" s="241">
        <v>0.04549843784112107</v>
      </c>
      <c r="E523" s="241">
        <v>-0.0010078107943946382</v>
      </c>
      <c r="F523" s="247">
        <v>-44.528595730196685</v>
      </c>
      <c r="G523" s="246">
        <v>10051.39831926329</v>
      </c>
      <c r="H523" s="247">
        <v>11692.51500000001</v>
      </c>
      <c r="I523" s="247">
        <v>0.0</v>
      </c>
      <c r="J523" s="128">
        <v>54805.08400000006</v>
      </c>
    </row>
    <row r="524">
      <c r="A524" s="245">
        <v>42895.0</v>
      </c>
      <c r="B524" s="28">
        <v>0.0326</v>
      </c>
      <c r="C524" s="28">
        <v>0.0131</v>
      </c>
      <c r="D524" s="173">
        <v>0.0457</v>
      </c>
      <c r="E524" s="173">
        <v>6.000000000000033E-4</v>
      </c>
      <c r="F524" s="247">
        <v>66.27523138945435</v>
      </c>
      <c r="G524" s="246">
        <v>10095.926914993486</v>
      </c>
      <c r="H524" s="247">
        <v>11692.51500000001</v>
      </c>
      <c r="I524" s="247">
        <v>0.0</v>
      </c>
      <c r="J524" s="128">
        <v>55020.605000000054</v>
      </c>
    </row>
    <row r="525">
      <c r="A525" s="245">
        <v>42894.0</v>
      </c>
      <c r="B525" s="241">
        <v>0.03235</v>
      </c>
      <c r="C525" s="241">
        <v>0.013049999999999999</v>
      </c>
      <c r="D525" s="241">
        <v>0.045399999999999996</v>
      </c>
      <c r="E525" s="241">
        <v>6.000000000000033E-4</v>
      </c>
      <c r="F525" s="247">
        <v>66.27523138945435</v>
      </c>
      <c r="G525" s="246">
        <v>10029.651683604032</v>
      </c>
      <c r="H525" s="247">
        <v>11692.51500000001</v>
      </c>
      <c r="I525" s="247">
        <v>0.0</v>
      </c>
      <c r="J525" s="128">
        <v>55065.28900000005</v>
      </c>
    </row>
    <row r="526">
      <c r="A526" s="245">
        <v>42893.0</v>
      </c>
      <c r="B526" s="241">
        <v>0.0321</v>
      </c>
      <c r="C526" s="241">
        <v>0.013</v>
      </c>
      <c r="D526" s="241">
        <v>0.045099999999999994</v>
      </c>
      <c r="E526" s="241">
        <v>6.999999999999923E-4</v>
      </c>
      <c r="F526" s="247">
        <v>77.32110328769522</v>
      </c>
      <c r="G526" s="246">
        <v>9963.376452214578</v>
      </c>
      <c r="H526" s="247">
        <v>11692.51500000001</v>
      </c>
      <c r="I526" s="247">
        <v>0.0</v>
      </c>
      <c r="J526" s="128">
        <v>55563.17400000004</v>
      </c>
    </row>
    <row r="527">
      <c r="A527" s="245">
        <v>42892.0</v>
      </c>
      <c r="B527" s="241">
        <v>0.031799999999999995</v>
      </c>
      <c r="C527" s="241">
        <v>0.01295</v>
      </c>
      <c r="D527" s="241">
        <v>0.04475</v>
      </c>
      <c r="E527" s="241">
        <v>6.999999999999923E-4</v>
      </c>
      <c r="F527" s="247">
        <v>77.32110328769522</v>
      </c>
      <c r="G527" s="246">
        <v>9886.055348926882</v>
      </c>
      <c r="H527" s="247">
        <v>11692.51500000001</v>
      </c>
      <c r="I527" s="247">
        <v>0.0</v>
      </c>
      <c r="J527" s="128">
        <v>55613.826000000045</v>
      </c>
    </row>
    <row r="528">
      <c r="A528" s="245">
        <v>42891.0</v>
      </c>
      <c r="B528" s="28">
        <v>0.0315</v>
      </c>
      <c r="C528" s="28">
        <v>0.0129</v>
      </c>
      <c r="D528" s="173">
        <v>0.0444</v>
      </c>
      <c r="E528" s="173">
        <v>0.0040000000000000036</v>
      </c>
      <c r="F528" s="247">
        <v>883.6697518593883</v>
      </c>
      <c r="G528" s="246">
        <v>9808.734245639187</v>
      </c>
      <c r="H528" s="247">
        <v>11692.51500000001</v>
      </c>
      <c r="I528" s="247">
        <v>0.0</v>
      </c>
      <c r="J528" s="128">
        <v>55077.11200000005</v>
      </c>
    </row>
    <row r="529">
      <c r="A529" s="245">
        <v>42888.0</v>
      </c>
      <c r="B529" s="241">
        <v>0.0276</v>
      </c>
      <c r="C529" s="241">
        <v>0.0128</v>
      </c>
      <c r="D529" s="241">
        <v>0.0404</v>
      </c>
      <c r="E529" s="241">
        <v>0.0038999999999999937</v>
      </c>
      <c r="F529" s="247">
        <v>861.5780080628992</v>
      </c>
      <c r="G529" s="246">
        <v>8925.064493779799</v>
      </c>
      <c r="H529" s="247">
        <v>11692.51500000001</v>
      </c>
      <c r="I529" s="247">
        <v>0.0</v>
      </c>
      <c r="J529" s="128">
        <v>54866.75400000003</v>
      </c>
    </row>
    <row r="530">
      <c r="A530" s="245">
        <v>42887.0</v>
      </c>
      <c r="B530" s="28">
        <v>0.0238</v>
      </c>
      <c r="C530" s="28">
        <v>0.0127</v>
      </c>
      <c r="D530" s="173">
        <v>0.036500000000000005</v>
      </c>
      <c r="E530" s="173">
        <v>0.0013000000000000095</v>
      </c>
      <c r="F530" s="247">
        <v>143.5963346771514</v>
      </c>
      <c r="G530" s="246">
        <v>8063.4864857169</v>
      </c>
      <c r="H530" s="247">
        <v>11692.51500000001</v>
      </c>
      <c r="I530" s="247">
        <v>0.0</v>
      </c>
      <c r="J530" s="128">
        <v>54569.335000000036</v>
      </c>
    </row>
    <row r="531">
      <c r="A531" s="245">
        <v>42886.0</v>
      </c>
      <c r="B531" s="241">
        <v>0.0232</v>
      </c>
      <c r="C531" s="241">
        <v>0.01265</v>
      </c>
      <c r="D531" s="241">
        <v>0.03585</v>
      </c>
      <c r="E531" s="241">
        <v>0.0013000000000000095</v>
      </c>
      <c r="F531" s="247">
        <v>143.5963346771514</v>
      </c>
      <c r="G531" s="246">
        <v>7919.890151039748</v>
      </c>
      <c r="H531" s="247">
        <v>11692.51500000001</v>
      </c>
      <c r="I531" s="247">
        <v>0.0</v>
      </c>
      <c r="J531" s="128">
        <v>54542.89400000003</v>
      </c>
    </row>
    <row r="532">
      <c r="A532" s="245">
        <v>42885.0</v>
      </c>
      <c r="B532" s="28">
        <v>0.0226</v>
      </c>
      <c r="C532" s="28">
        <v>0.0126</v>
      </c>
      <c r="D532" s="173">
        <v>0.035199999999999995</v>
      </c>
      <c r="E532" s="173">
        <v>7.999999999999952E-4</v>
      </c>
      <c r="F532" s="247">
        <v>176.73395037187584</v>
      </c>
      <c r="G532" s="246">
        <v>7776.293816362597</v>
      </c>
      <c r="H532" s="247">
        <v>11692.51500000001</v>
      </c>
      <c r="I532" s="247">
        <v>0.0</v>
      </c>
      <c r="J532" s="128">
        <v>54747.865000000034</v>
      </c>
    </row>
    <row r="533">
      <c r="A533" s="245">
        <v>42884.0</v>
      </c>
      <c r="B533" s="28">
        <v>0.0219</v>
      </c>
      <c r="C533" s="28">
        <v>0.0125</v>
      </c>
      <c r="D533" s="173">
        <v>0.0344</v>
      </c>
      <c r="E533" s="173">
        <v>0.0015000000000000013</v>
      </c>
      <c r="F533" s="247">
        <v>331.37615694727083</v>
      </c>
      <c r="G533" s="246">
        <v>7599.559865990721</v>
      </c>
      <c r="H533" s="247">
        <v>11692.51500000001</v>
      </c>
      <c r="I533" s="247">
        <v>0.0</v>
      </c>
      <c r="J533" s="128">
        <v>55003.322000000044</v>
      </c>
    </row>
    <row r="534">
      <c r="A534" s="245">
        <v>42881.0</v>
      </c>
      <c r="B534" s="28">
        <v>0.0205</v>
      </c>
      <c r="C534" s="28">
        <v>0.0124</v>
      </c>
      <c r="D534" s="173">
        <v>0.0329</v>
      </c>
      <c r="E534" s="173">
        <v>0.003499999999999996</v>
      </c>
      <c r="F534" s="247">
        <v>773.2110328769613</v>
      </c>
      <c r="G534" s="246">
        <v>7268.18370904345</v>
      </c>
      <c r="H534" s="247">
        <v>11692.51500000001</v>
      </c>
      <c r="I534" s="247">
        <v>0.0</v>
      </c>
      <c r="J534" s="128">
        <v>54978.66100000004</v>
      </c>
    </row>
    <row r="535">
      <c r="A535" s="245">
        <v>42880.0</v>
      </c>
      <c r="B535" s="28">
        <v>0.0171</v>
      </c>
      <c r="C535" s="28">
        <v>0.0123</v>
      </c>
      <c r="D535" s="173">
        <v>0.029400000000000003</v>
      </c>
      <c r="E535" s="173">
        <v>0.001800000000000003</v>
      </c>
      <c r="F535" s="247">
        <v>198.82569416836213</v>
      </c>
      <c r="G535" s="246">
        <v>6494.972676166489</v>
      </c>
      <c r="H535" s="247">
        <v>11692.51500000001</v>
      </c>
      <c r="I535" s="247">
        <v>0.0</v>
      </c>
      <c r="J535" s="128">
        <v>54217.91200000004</v>
      </c>
    </row>
    <row r="536">
      <c r="A536" s="245">
        <v>42879.0</v>
      </c>
      <c r="B536" s="241">
        <v>0.01625</v>
      </c>
      <c r="C536" s="241">
        <v>0.01225</v>
      </c>
      <c r="D536" s="241">
        <v>0.0285</v>
      </c>
      <c r="E536" s="241">
        <v>0.001800000000000003</v>
      </c>
      <c r="F536" s="247">
        <v>198.82569416836304</v>
      </c>
      <c r="G536" s="246">
        <v>6296.146981998127</v>
      </c>
      <c r="H536" s="247">
        <v>11692.51500000001</v>
      </c>
      <c r="I536" s="247">
        <v>0.0</v>
      </c>
      <c r="J536" s="128">
        <v>54271.02300000003</v>
      </c>
    </row>
    <row r="537">
      <c r="A537" s="245">
        <v>42878.0</v>
      </c>
      <c r="B537" s="28">
        <v>0.0154</v>
      </c>
      <c r="C537" s="28">
        <v>0.0122</v>
      </c>
      <c r="D537" s="173">
        <v>0.0276</v>
      </c>
      <c r="E537" s="173">
        <v>-0.0023</v>
      </c>
      <c r="F537" s="247">
        <v>-254.0550536595738</v>
      </c>
      <c r="G537" s="246">
        <v>6097.321287829764</v>
      </c>
      <c r="H537" s="247">
        <v>11692.51500000001</v>
      </c>
      <c r="I537" s="247">
        <v>0.0</v>
      </c>
      <c r="J537" s="128">
        <v>54162.39100000005</v>
      </c>
    </row>
    <row r="538">
      <c r="A538" s="245">
        <v>42877.0</v>
      </c>
      <c r="B538" s="241">
        <v>0.0166</v>
      </c>
      <c r="C538" s="241">
        <v>0.012150000000000001</v>
      </c>
      <c r="D538" s="241">
        <v>0.028749999999999998</v>
      </c>
      <c r="E538" s="241">
        <v>-0.0023</v>
      </c>
      <c r="F538" s="247">
        <v>-254.0550536595738</v>
      </c>
      <c r="G538" s="246">
        <v>6351.376341489337</v>
      </c>
      <c r="H538" s="247">
        <v>11692.51500000001</v>
      </c>
      <c r="I538" s="247">
        <v>0.0</v>
      </c>
      <c r="J538" s="128">
        <v>54217.79100000003</v>
      </c>
    </row>
    <row r="539">
      <c r="A539" s="245">
        <v>42874.0</v>
      </c>
      <c r="B539" s="28">
        <v>0.0178</v>
      </c>
      <c r="C539" s="28">
        <v>0.0121</v>
      </c>
      <c r="D539" s="173">
        <v>0.0299</v>
      </c>
      <c r="E539" s="173">
        <v>-0.004010717515186755</v>
      </c>
      <c r="F539" s="247">
        <v>-295.34581261859785</v>
      </c>
      <c r="G539" s="246">
        <v>6605.431395148911</v>
      </c>
      <c r="H539" s="247">
        <v>11692.51500000001</v>
      </c>
      <c r="I539" s="247">
        <v>0.0</v>
      </c>
      <c r="J539" s="128">
        <v>54214.15500000003</v>
      </c>
    </row>
    <row r="540">
      <c r="A540" s="245">
        <v>42873.0</v>
      </c>
      <c r="B540" s="241">
        <v>0.019170239171728918</v>
      </c>
      <c r="C540" s="241">
        <v>0.012066666666666667</v>
      </c>
      <c r="D540" s="241">
        <v>0.031236905838395588</v>
      </c>
      <c r="E540" s="241">
        <v>-0.004010717515186755</v>
      </c>
      <c r="F540" s="247">
        <v>-295.34581261859785</v>
      </c>
      <c r="G540" s="246">
        <v>6900.777207767509</v>
      </c>
      <c r="H540" s="138">
        <v>11591.095000000008</v>
      </c>
      <c r="I540" s="247">
        <v>0.0</v>
      </c>
      <c r="J540" s="128">
        <v>54665.964000000036</v>
      </c>
    </row>
    <row r="541">
      <c r="A541" s="245">
        <v>42872.0</v>
      </c>
      <c r="B541" s="241">
        <v>0.020540478343457836</v>
      </c>
      <c r="C541" s="241">
        <v>0.012033333333333333</v>
      </c>
      <c r="D541" s="241">
        <v>0.03257381167679117</v>
      </c>
      <c r="E541" s="241">
        <v>-0.004010717515186755</v>
      </c>
      <c r="F541" s="247">
        <v>-295.34581261859785</v>
      </c>
      <c r="G541" s="246">
        <v>7196.123020386107</v>
      </c>
      <c r="H541" s="138">
        <v>11591.095000000008</v>
      </c>
      <c r="I541" s="247">
        <v>0.0</v>
      </c>
      <c r="J541" s="128">
        <v>54674.134000000035</v>
      </c>
    </row>
    <row r="542">
      <c r="A542" s="245">
        <v>42871.0</v>
      </c>
      <c r="B542" s="28">
        <v>0.021910717515186754</v>
      </c>
      <c r="C542" s="28">
        <v>0.012</v>
      </c>
      <c r="D542" s="173">
        <v>0.033910717515186754</v>
      </c>
      <c r="E542" s="173">
        <v>5.468744933845512E-4</v>
      </c>
      <c r="F542" s="247">
        <v>24.162822393368515</v>
      </c>
      <c r="G542" s="246">
        <v>7491.468833004705</v>
      </c>
      <c r="H542" s="138">
        <v>11591.095000000008</v>
      </c>
      <c r="I542" s="247">
        <v>0.0</v>
      </c>
      <c r="J542" s="128">
        <v>54326.79900000003</v>
      </c>
    </row>
    <row r="543">
      <c r="A543" s="245">
        <v>42870.0</v>
      </c>
      <c r="B543" s="241">
        <v>0.021801342616509845</v>
      </c>
      <c r="C543" s="241">
        <v>0.012</v>
      </c>
      <c r="D543" s="241">
        <v>0.033801342616509855</v>
      </c>
      <c r="E543" s="241">
        <v>5.468744933845512E-4</v>
      </c>
      <c r="F543" s="247">
        <v>24.162822393367605</v>
      </c>
      <c r="G543" s="246">
        <v>7467.306010611336</v>
      </c>
      <c r="H543" s="138">
        <v>11591.095000000008</v>
      </c>
      <c r="I543" s="247">
        <v>0.0</v>
      </c>
      <c r="J543" s="128">
        <v>55768.985000000044</v>
      </c>
    </row>
    <row r="544">
      <c r="A544" s="245">
        <v>42867.0</v>
      </c>
      <c r="B544" s="241">
        <v>0.021691967717832935</v>
      </c>
      <c r="C544" s="241">
        <v>0.012</v>
      </c>
      <c r="D544" s="241">
        <v>0.03369196771783294</v>
      </c>
      <c r="E544" s="241">
        <v>5.468744933845512E-4</v>
      </c>
      <c r="F544" s="247">
        <v>24.162822393367605</v>
      </c>
      <c r="G544" s="246">
        <v>7443.143188217969</v>
      </c>
      <c r="H544" s="138">
        <v>11591.095000000008</v>
      </c>
      <c r="I544" s="247">
        <v>0.0</v>
      </c>
      <c r="J544" s="128">
        <v>55934.658000000054</v>
      </c>
    </row>
    <row r="545">
      <c r="A545" s="245">
        <v>42866.0</v>
      </c>
      <c r="B545" s="241">
        <v>0.021582592819156025</v>
      </c>
      <c r="C545" s="241">
        <v>0.012</v>
      </c>
      <c r="D545" s="241">
        <v>0.03358259281915603</v>
      </c>
      <c r="E545" s="241">
        <v>5.468744933845512E-4</v>
      </c>
      <c r="F545" s="247">
        <v>24.162822393367605</v>
      </c>
      <c r="G545" s="246">
        <v>7418.980365824601</v>
      </c>
      <c r="H545" s="138">
        <v>11591.095000000008</v>
      </c>
      <c r="I545" s="247">
        <v>0.0</v>
      </c>
      <c r="J545" s="128">
        <v>55536.19900000005</v>
      </c>
    </row>
    <row r="546">
      <c r="A546" s="245">
        <v>42865.0</v>
      </c>
      <c r="B546" s="241">
        <v>0.021473217920479116</v>
      </c>
      <c r="C546" s="241">
        <v>0.012</v>
      </c>
      <c r="D546" s="241">
        <v>0.033473217920479116</v>
      </c>
      <c r="E546" s="241">
        <v>5.468744933845512E-4</v>
      </c>
      <c r="F546" s="247">
        <v>24.162822393367605</v>
      </c>
      <c r="G546" s="246">
        <v>7394.817543431233</v>
      </c>
      <c r="H546" s="138">
        <v>11591.095000000008</v>
      </c>
      <c r="I546" s="247">
        <v>0.0</v>
      </c>
      <c r="J546" s="128">
        <v>55655.03400000006</v>
      </c>
    </row>
    <row r="547">
      <c r="A547" s="245">
        <v>42864.0</v>
      </c>
      <c r="B547" s="241">
        <v>0.021363843021802206</v>
      </c>
      <c r="C547" s="241">
        <v>0.012</v>
      </c>
      <c r="D547" s="241">
        <v>0.0333638430218022</v>
      </c>
      <c r="E547" s="241">
        <v>-0.01404307411194139</v>
      </c>
      <c r="F547" s="247">
        <v>-620.4719907921135</v>
      </c>
      <c r="G547" s="246">
        <v>7370.654721037866</v>
      </c>
      <c r="H547" s="138">
        <v>11591.095000000008</v>
      </c>
      <c r="I547" s="247">
        <v>0.0</v>
      </c>
      <c r="J547" s="128">
        <v>55349.43700000006</v>
      </c>
    </row>
    <row r="548">
      <c r="A548" s="245">
        <v>42863.0</v>
      </c>
      <c r="B548" s="241">
        <v>0.02417245784419049</v>
      </c>
      <c r="C548" s="241">
        <v>0.012</v>
      </c>
      <c r="D548" s="241">
        <v>0.036172457844190486</v>
      </c>
      <c r="E548" s="241">
        <v>-0.01404307411194139</v>
      </c>
      <c r="F548" s="247">
        <v>-620.4719907921108</v>
      </c>
      <c r="G548" s="246">
        <v>7991.126711829979</v>
      </c>
      <c r="H548" s="247">
        <v>8182.690000000004</v>
      </c>
      <c r="I548" s="247">
        <v>0.0</v>
      </c>
      <c r="J548" s="128">
        <v>55047.858000000066</v>
      </c>
    </row>
    <row r="549">
      <c r="A549" s="245">
        <v>42860.0</v>
      </c>
      <c r="B549" s="241">
        <v>0.026981072666578766</v>
      </c>
      <c r="C549" s="241">
        <v>0.012</v>
      </c>
      <c r="D549" s="241">
        <v>0.03898107266657876</v>
      </c>
      <c r="E549" s="241">
        <v>-0.01404307411194139</v>
      </c>
      <c r="F549" s="247">
        <v>-620.4719907921099</v>
      </c>
      <c r="G549" s="246">
        <v>8611.59870262209</v>
      </c>
      <c r="H549" s="247">
        <v>8182.690000000004</v>
      </c>
      <c r="I549" s="247">
        <v>0.0</v>
      </c>
      <c r="J549" s="128">
        <v>54572.16700000006</v>
      </c>
    </row>
    <row r="550">
      <c r="A550" s="245">
        <v>42859.0</v>
      </c>
      <c r="B550" s="241">
        <v>0.029789687488967043</v>
      </c>
      <c r="C550" s="241">
        <v>0.012</v>
      </c>
      <c r="D550" s="241">
        <v>0.04178968748896704</v>
      </c>
      <c r="E550" s="241">
        <v>-0.01404307411194139</v>
      </c>
      <c r="F550" s="247">
        <v>-620.4719907921099</v>
      </c>
      <c r="G550" s="246">
        <v>9232.0706934142</v>
      </c>
      <c r="H550" s="247">
        <v>8182.690000000004</v>
      </c>
      <c r="I550" s="247">
        <v>0.0</v>
      </c>
      <c r="J550" s="128">
        <v>54901.78500000006</v>
      </c>
    </row>
    <row r="551">
      <c r="A551" s="245">
        <v>42858.0</v>
      </c>
      <c r="B551" s="241">
        <v>0.03259830231135532</v>
      </c>
      <c r="C551" s="241">
        <v>0.012</v>
      </c>
      <c r="D551" s="241">
        <v>0.044598302311355316</v>
      </c>
      <c r="E551" s="241">
        <v>-0.01404307411194139</v>
      </c>
      <c r="F551" s="247">
        <v>-620.4719907921099</v>
      </c>
      <c r="G551" s="246">
        <v>9852.54268420631</v>
      </c>
      <c r="H551" s="247">
        <v>8182.690000000004</v>
      </c>
      <c r="I551" s="247">
        <v>0.0</v>
      </c>
      <c r="J551" s="128">
        <v>56052.18500000007</v>
      </c>
    </row>
    <row r="552">
      <c r="A552" s="245">
        <v>42857.0</v>
      </c>
      <c r="B552" s="28">
        <v>0.035406917133743596</v>
      </c>
      <c r="C552" s="28">
        <v>0.012</v>
      </c>
      <c r="D552" s="173">
        <v>0.04740691713374359</v>
      </c>
      <c r="E552" s="173">
        <v>-1.994398679431436E-4</v>
      </c>
      <c r="F552" s="247">
        <v>3631.20423011157</v>
      </c>
      <c r="G552" s="246">
        <v>10473.01467499842</v>
      </c>
      <c r="H552" s="247">
        <v>8182.690000000004</v>
      </c>
      <c r="I552" s="247">
        <v>0.0</v>
      </c>
      <c r="J552" s="128">
        <v>50937.294</v>
      </c>
    </row>
    <row r="553">
      <c r="A553" s="245">
        <v>42853.0</v>
      </c>
      <c r="B553" s="28">
        <v>0.018969988190681228</v>
      </c>
      <c r="C553" s="28">
        <v>0.012</v>
      </c>
      <c r="D553" s="173">
        <v>0.030969988190681228</v>
      </c>
      <c r="E553" s="173">
        <v>8.180781288390192E-4</v>
      </c>
      <c r="F553" s="247">
        <v>-3675.2639747656167</v>
      </c>
      <c r="G553" s="246">
        <v>6841.81044488685</v>
      </c>
      <c r="H553" s="247">
        <v>2470.88</v>
      </c>
      <c r="I553" s="247">
        <v>0.0</v>
      </c>
      <c r="J553" s="128">
        <v>51252.730875</v>
      </c>
    </row>
    <row r="554">
      <c r="A554" s="245">
        <v>42852.0</v>
      </c>
      <c r="B554" s="241">
        <v>0.03560635700168673</v>
      </c>
      <c r="C554" s="241">
        <v>0.012</v>
      </c>
      <c r="D554" s="241">
        <v>0.047606357001686736</v>
      </c>
      <c r="E554" s="241">
        <v>0.016636368811005508</v>
      </c>
      <c r="F554" s="247">
        <v>385.5991699043825</v>
      </c>
      <c r="G554" s="246">
        <v>10517.074419652467</v>
      </c>
      <c r="H554" s="138">
        <v>2470.88</v>
      </c>
      <c r="I554" s="247">
        <v>0.0</v>
      </c>
      <c r="J554" s="128">
        <v>51568.16775</v>
      </c>
    </row>
    <row r="555">
      <c r="A555" s="245">
        <v>42851.0</v>
      </c>
      <c r="B555" s="241">
        <v>0.03386091230770228</v>
      </c>
      <c r="C555" s="241">
        <v>0.012</v>
      </c>
      <c r="D555" s="241">
        <v>0.04586091230770228</v>
      </c>
      <c r="E555" s="241">
        <v>0.016636368811005508</v>
      </c>
      <c r="F555" s="247">
        <v>385.5991699043807</v>
      </c>
      <c r="G555" s="246">
        <v>10131.475249748084</v>
      </c>
      <c r="H555" s="247">
        <v>8461.055</v>
      </c>
      <c r="I555" s="247">
        <v>0.0</v>
      </c>
      <c r="J555" s="128">
        <v>51883.604625</v>
      </c>
    </row>
    <row r="556">
      <c r="A556" s="245">
        <v>42850.0</v>
      </c>
      <c r="B556" s="241">
        <v>0.03211546761371783</v>
      </c>
      <c r="C556" s="241">
        <v>0.012</v>
      </c>
      <c r="D556" s="241">
        <v>0.044115467613717825</v>
      </c>
      <c r="E556" s="241">
        <v>0.016636368811005508</v>
      </c>
      <c r="F556" s="247">
        <v>385.5991699043807</v>
      </c>
      <c r="G556" s="246">
        <v>9745.876079843703</v>
      </c>
      <c r="H556" s="247">
        <v>8461.055</v>
      </c>
      <c r="I556" s="247">
        <v>0.0</v>
      </c>
      <c r="J556" s="128">
        <v>52199.0415</v>
      </c>
    </row>
    <row r="557">
      <c r="A557" s="245">
        <v>42849.0</v>
      </c>
      <c r="B557" s="241">
        <v>0.030370022919733373</v>
      </c>
      <c r="C557" s="241">
        <v>0.012</v>
      </c>
      <c r="D557" s="241">
        <v>0.04237002291973337</v>
      </c>
      <c r="E557" s="241">
        <v>0.016636368811005508</v>
      </c>
      <c r="F557" s="247">
        <v>385.5991699043807</v>
      </c>
      <c r="G557" s="246">
        <v>9360.276909939323</v>
      </c>
      <c r="H557" s="247">
        <v>8461.055</v>
      </c>
      <c r="I557" s="247">
        <v>0.0</v>
      </c>
      <c r="J557" s="128">
        <v>52514.478375</v>
      </c>
    </row>
    <row r="558">
      <c r="A558" s="245">
        <v>42846.0</v>
      </c>
      <c r="B558" s="241">
        <v>0.02862457822574892</v>
      </c>
      <c r="C558" s="241">
        <v>0.012</v>
      </c>
      <c r="D558" s="241">
        <v>0.04062457822574892</v>
      </c>
      <c r="E558" s="241">
        <v>0.016636368811005508</v>
      </c>
      <c r="F558" s="247">
        <v>385.5991699043807</v>
      </c>
      <c r="G558" s="246">
        <v>8974.677740034942</v>
      </c>
      <c r="H558" s="247">
        <v>8461.055</v>
      </c>
      <c r="I558" s="247">
        <v>0.0</v>
      </c>
      <c r="J558" s="128">
        <v>52829.91525</v>
      </c>
    </row>
    <row r="559">
      <c r="A559" s="245">
        <v>42845.0</v>
      </c>
      <c r="B559" s="241">
        <v>0.02687913353176447</v>
      </c>
      <c r="C559" s="241">
        <v>0.012</v>
      </c>
      <c r="D559" s="241">
        <v>0.03887913353176447</v>
      </c>
      <c r="E559" s="241">
        <v>0.016636368811005508</v>
      </c>
      <c r="F559" s="247">
        <v>385.5991699043807</v>
      </c>
      <c r="G559" s="246">
        <v>8589.078570130561</v>
      </c>
      <c r="H559" s="247">
        <v>8461.055</v>
      </c>
      <c r="I559" s="247">
        <v>0.0</v>
      </c>
      <c r="J559" s="128">
        <v>53145.352125</v>
      </c>
    </row>
    <row r="560">
      <c r="A560" s="245">
        <v>42844.0</v>
      </c>
      <c r="B560" s="241">
        <v>0.025133688837780017</v>
      </c>
      <c r="C560" s="241">
        <v>0.012</v>
      </c>
      <c r="D560" s="241">
        <v>0.03713368883778002</v>
      </c>
      <c r="E560" s="241">
        <v>0.016636368811005508</v>
      </c>
      <c r="F560" s="247">
        <v>385.5991699043807</v>
      </c>
      <c r="G560" s="246">
        <v>8203.47940022618</v>
      </c>
      <c r="H560" s="247">
        <v>8461.055</v>
      </c>
      <c r="I560" s="247">
        <v>0.0</v>
      </c>
      <c r="J560" s="128">
        <v>53460.789000000004</v>
      </c>
    </row>
    <row r="561">
      <c r="A561" s="245">
        <v>42843.0</v>
      </c>
      <c r="B561" s="241">
        <v>0.023388244143795565</v>
      </c>
      <c r="C561" s="241">
        <v>0.012</v>
      </c>
      <c r="D561" s="241">
        <v>0.035388244143795565</v>
      </c>
      <c r="E561" s="241">
        <v>0.016636368811005508</v>
      </c>
      <c r="F561" s="247">
        <v>385.5991699043807</v>
      </c>
      <c r="G561" s="246">
        <v>7817.8802303218</v>
      </c>
      <c r="H561" s="247">
        <v>8461.055</v>
      </c>
      <c r="I561" s="247">
        <v>0.0</v>
      </c>
      <c r="J561" s="128">
        <v>53859.386</v>
      </c>
    </row>
    <row r="562">
      <c r="A562" s="245">
        <v>42838.0</v>
      </c>
      <c r="B562" s="241">
        <v>0.021642799449811113</v>
      </c>
      <c r="C562" s="241">
        <v>0.012</v>
      </c>
      <c r="D562" s="241">
        <v>0.03364279944981111</v>
      </c>
      <c r="E562" s="241">
        <v>0.016636368811005508</v>
      </c>
      <c r="F562" s="247">
        <v>385.5991699043807</v>
      </c>
      <c r="G562" s="246">
        <v>7432.281060417419</v>
      </c>
      <c r="H562" s="247">
        <v>8461.055</v>
      </c>
      <c r="I562" s="247">
        <v>0.0</v>
      </c>
      <c r="J562" s="128">
        <v>53961.799999999996</v>
      </c>
    </row>
    <row r="563">
      <c r="A563" s="245">
        <v>42837.0</v>
      </c>
      <c r="B563" s="241">
        <v>0.01989735475582666</v>
      </c>
      <c r="C563" s="241">
        <v>0.012</v>
      </c>
      <c r="D563" s="241">
        <v>0.03189735475582666</v>
      </c>
      <c r="E563" s="241">
        <v>0.016636368811005508</v>
      </c>
      <c r="F563" s="247">
        <v>385.5991699043807</v>
      </c>
      <c r="G563" s="246">
        <v>7046.6818905130385</v>
      </c>
      <c r="H563" s="247">
        <v>8461.055</v>
      </c>
      <c r="I563" s="247">
        <v>0.0</v>
      </c>
      <c r="J563" s="128">
        <v>53751.428</v>
      </c>
    </row>
    <row r="564">
      <c r="A564" s="245">
        <v>42836.0</v>
      </c>
      <c r="B564" s="28">
        <v>0.01815191006184221</v>
      </c>
      <c r="C564" s="28">
        <v>0.012</v>
      </c>
      <c r="D564" s="173">
        <v>0.03015191006184221</v>
      </c>
      <c r="E564" s="173">
        <v>4.2582717469073425E-4</v>
      </c>
      <c r="F564" s="247">
        <v>94.07264844848578</v>
      </c>
      <c r="G564" s="246">
        <v>6661.082720608658</v>
      </c>
      <c r="H564" s="247">
        <v>8461.055</v>
      </c>
      <c r="I564" s="247">
        <v>0.0</v>
      </c>
      <c r="J564" s="128">
        <v>53593.513</v>
      </c>
    </row>
    <row r="565">
      <c r="A565" s="245">
        <v>42835.0</v>
      </c>
      <c r="B565" s="28">
        <v>0.017726082887151474</v>
      </c>
      <c r="C565" s="28">
        <v>0.012</v>
      </c>
      <c r="D565" s="173">
        <v>0.029726082887151475</v>
      </c>
      <c r="E565" s="173">
        <v>-2.3056632132145705E-6</v>
      </c>
      <c r="F565" s="247">
        <v>-0.16978706995814719</v>
      </c>
      <c r="G565" s="246">
        <v>6567.010072160172</v>
      </c>
      <c r="H565" s="247">
        <v>8461.055</v>
      </c>
      <c r="I565" s="247">
        <v>0.0</v>
      </c>
      <c r="J565" s="128">
        <v>53189.529</v>
      </c>
    </row>
    <row r="566">
      <c r="A566" s="245">
        <v>42832.0</v>
      </c>
      <c r="B566" s="241">
        <v>0.017726851441555877</v>
      </c>
      <c r="C566" s="241">
        <v>0.012</v>
      </c>
      <c r="D566" s="241">
        <v>0.029726851441555877</v>
      </c>
      <c r="E566" s="241">
        <v>-2.3056632132145705E-6</v>
      </c>
      <c r="F566" s="247">
        <v>-0.1697870699572377</v>
      </c>
      <c r="G566" s="246">
        <v>6567.17985923013</v>
      </c>
      <c r="H566" s="247">
        <v>8461.055</v>
      </c>
      <c r="I566" s="247">
        <v>0.0</v>
      </c>
      <c r="J566" s="128">
        <v>53461.41700000001</v>
      </c>
    </row>
    <row r="567">
      <c r="A567" s="245">
        <v>42831.0</v>
      </c>
      <c r="B567" s="241">
        <v>0.017727619995960283</v>
      </c>
      <c r="C567" s="241">
        <v>0.012</v>
      </c>
      <c r="D567" s="241">
        <v>0.029727619995960283</v>
      </c>
      <c r="E567" s="241">
        <v>-2.3056632132145705E-6</v>
      </c>
      <c r="F567" s="247">
        <v>-0.1697870699572377</v>
      </c>
      <c r="G567" s="246">
        <v>6567.349646300087</v>
      </c>
      <c r="H567" s="247">
        <v>8461.055</v>
      </c>
      <c r="I567" s="247">
        <v>0.0</v>
      </c>
      <c r="J567" s="128">
        <v>52862.797</v>
      </c>
    </row>
    <row r="568">
      <c r="A568" s="245">
        <v>42830.0</v>
      </c>
      <c r="B568" s="28">
        <v>0.01772838855036469</v>
      </c>
      <c r="C568" s="28">
        <v>0.012</v>
      </c>
      <c r="D568" s="173">
        <v>0.02972838855036469</v>
      </c>
      <c r="E568" s="173">
        <v>6.484677787168408E-5</v>
      </c>
      <c r="F568" s="247">
        <v>0.682180191788575</v>
      </c>
      <c r="G568" s="246">
        <v>6567.519433370045</v>
      </c>
      <c r="H568" s="247">
        <v>8461.055</v>
      </c>
      <c r="I568" s="247">
        <v>0.0</v>
      </c>
      <c r="J568" s="128">
        <v>52775.998</v>
      </c>
    </row>
    <row r="569">
      <c r="A569" s="245">
        <v>42829.0</v>
      </c>
      <c r="B569" s="241">
        <v>0.017725300608561242</v>
      </c>
      <c r="C569" s="241">
        <v>0.012</v>
      </c>
      <c r="D569" s="241">
        <v>0.029725300608561243</v>
      </c>
      <c r="E569" s="241">
        <v>6.484677787168408E-5</v>
      </c>
      <c r="F569" s="247">
        <v>0.6821801917949415</v>
      </c>
      <c r="G569" s="246">
        <v>6566.837253178256</v>
      </c>
      <c r="H569" s="247">
        <v>8461.055</v>
      </c>
      <c r="I569" s="247">
        <v>0.0</v>
      </c>
      <c r="J569" s="128">
        <v>52944.46199999999</v>
      </c>
    </row>
    <row r="570">
      <c r="A570" s="245">
        <v>42828.0</v>
      </c>
      <c r="B570" s="241">
        <v>0.01772221266675783</v>
      </c>
      <c r="C570" s="241">
        <v>0.012</v>
      </c>
      <c r="D570" s="241">
        <v>0.02972221266675783</v>
      </c>
      <c r="E570" s="241">
        <v>6.484677787168408E-5</v>
      </c>
      <c r="F570" s="247">
        <v>0.6821801917949415</v>
      </c>
      <c r="G570" s="246">
        <v>6566.155072986461</v>
      </c>
      <c r="H570" s="247">
        <v>8461.055</v>
      </c>
      <c r="I570" s="247">
        <v>0.0</v>
      </c>
      <c r="J570" s="128">
        <v>52886.281</v>
      </c>
    </row>
    <row r="571">
      <c r="A571" s="245">
        <v>42825.0</v>
      </c>
      <c r="B571" s="241">
        <v>0.01771912472495442</v>
      </c>
      <c r="C571" s="241">
        <v>0.012</v>
      </c>
      <c r="D571" s="241">
        <v>0.02971912472495442</v>
      </c>
      <c r="E571" s="241">
        <v>6.484677787168408E-5</v>
      </c>
      <c r="F571" s="247">
        <v>0.6821801917949415</v>
      </c>
      <c r="G571" s="246">
        <v>6565.472892794666</v>
      </c>
      <c r="H571" s="247">
        <v>8461.055</v>
      </c>
      <c r="I571" s="247">
        <v>0.0</v>
      </c>
      <c r="J571" s="128">
        <v>52490.473000000005</v>
      </c>
    </row>
    <row r="572">
      <c r="A572" s="245">
        <v>42824.0</v>
      </c>
      <c r="B572" s="241">
        <v>0.017716036783151007</v>
      </c>
      <c r="C572" s="241">
        <v>0.012</v>
      </c>
      <c r="D572" s="241">
        <v>0.029716036783151007</v>
      </c>
      <c r="E572" s="241">
        <v>6.484677787168408E-5</v>
      </c>
      <c r="F572" s="247">
        <v>0.6821801917949415</v>
      </c>
      <c r="G572" s="246">
        <v>6564.790712602871</v>
      </c>
      <c r="H572" s="247">
        <v>8461.055</v>
      </c>
      <c r="I572" s="247">
        <v>0.0</v>
      </c>
      <c r="J572" s="128">
        <v>52413.501000000004</v>
      </c>
    </row>
    <row r="573">
      <c r="A573" s="245">
        <v>42823.0</v>
      </c>
      <c r="B573" s="241">
        <v>0.017712948841347595</v>
      </c>
      <c r="C573" s="241">
        <v>0.012</v>
      </c>
      <c r="D573" s="241">
        <v>0.029712948841347595</v>
      </c>
      <c r="E573" s="241">
        <v>6.484677787168408E-5</v>
      </c>
      <c r="F573" s="247">
        <v>0.6821801917949415</v>
      </c>
      <c r="G573" s="246">
        <v>6564.108532411076</v>
      </c>
      <c r="H573" s="247">
        <v>8461.055</v>
      </c>
      <c r="I573" s="247">
        <v>0.0</v>
      </c>
      <c r="J573" s="128">
        <v>52341.07</v>
      </c>
    </row>
    <row r="574">
      <c r="A574" s="245">
        <v>42822.0</v>
      </c>
      <c r="B574" s="241">
        <v>0.017709860899544183</v>
      </c>
      <c r="C574" s="241">
        <v>0.012</v>
      </c>
      <c r="D574" s="241">
        <v>0.029709860899544183</v>
      </c>
      <c r="E574" s="241">
        <v>6.484677787168408E-5</v>
      </c>
      <c r="F574" s="247">
        <v>0.6821801917949415</v>
      </c>
      <c r="G574" s="246">
        <v>6563.426352219281</v>
      </c>
      <c r="H574" s="247">
        <v>8461.055</v>
      </c>
      <c r="I574" s="247">
        <v>0.0</v>
      </c>
      <c r="J574" s="128">
        <v>51946.604</v>
      </c>
    </row>
    <row r="575">
      <c r="A575" s="245">
        <v>42821.0</v>
      </c>
      <c r="B575" s="241">
        <v>0.01770677295774077</v>
      </c>
      <c r="C575" s="241">
        <v>0.012</v>
      </c>
      <c r="D575" s="241">
        <v>0.02970677295774077</v>
      </c>
      <c r="E575" s="241">
        <v>6.484677787168408E-5</v>
      </c>
      <c r="F575" s="247">
        <v>0.6821801917949415</v>
      </c>
      <c r="G575" s="246">
        <v>6562.7441720274865</v>
      </c>
      <c r="H575" s="247">
        <v>8461.055</v>
      </c>
      <c r="I575" s="247">
        <v>0.0</v>
      </c>
      <c r="J575" s="128">
        <v>51782.684</v>
      </c>
    </row>
    <row r="576">
      <c r="A576" s="245">
        <v>42818.0</v>
      </c>
      <c r="B576" s="241">
        <v>0.01770368501593736</v>
      </c>
      <c r="C576" s="241">
        <v>0.012</v>
      </c>
      <c r="D576" s="241">
        <v>0.02970368501593736</v>
      </c>
      <c r="E576" s="241">
        <v>6.484677787168408E-5</v>
      </c>
      <c r="F576" s="247">
        <v>0.6821801917949415</v>
      </c>
      <c r="G576" s="246">
        <v>6562.0619918356915</v>
      </c>
      <c r="H576" s="247">
        <v>8461.055</v>
      </c>
      <c r="I576" s="247">
        <v>0.0</v>
      </c>
      <c r="J576" s="128">
        <v>51987.770000000004</v>
      </c>
    </row>
    <row r="577">
      <c r="A577" s="245">
        <v>42817.0</v>
      </c>
      <c r="B577" s="241">
        <v>0.017700597074133947</v>
      </c>
      <c r="C577" s="241">
        <v>0.012</v>
      </c>
      <c r="D577" s="241">
        <v>0.029700597074133948</v>
      </c>
      <c r="E577" s="241">
        <v>6.484677787168408E-5</v>
      </c>
      <c r="F577" s="247">
        <v>0.6821801917949415</v>
      </c>
      <c r="G577" s="246">
        <v>6561.379811643897</v>
      </c>
      <c r="H577" s="247">
        <v>8461.055</v>
      </c>
      <c r="I577" s="247">
        <v>0.0</v>
      </c>
      <c r="J577" s="128">
        <v>51918.219000000005</v>
      </c>
    </row>
    <row r="578">
      <c r="A578" s="245">
        <v>42816.0</v>
      </c>
      <c r="B578" s="241">
        <v>0.017697509132330536</v>
      </c>
      <c r="C578" s="241">
        <v>0.012</v>
      </c>
      <c r="D578" s="241">
        <v>0.029697509132330536</v>
      </c>
      <c r="E578" s="241">
        <v>6.484677787168408E-5</v>
      </c>
      <c r="F578" s="247">
        <v>0.6821801917949415</v>
      </c>
      <c r="G578" s="246">
        <v>6560.697631452102</v>
      </c>
      <c r="H578" s="247">
        <v>8461.055</v>
      </c>
      <c r="I578" s="247">
        <v>0.0</v>
      </c>
      <c r="J578" s="128">
        <v>52018.465000000004</v>
      </c>
    </row>
    <row r="579">
      <c r="A579" s="245">
        <v>42815.0</v>
      </c>
      <c r="B579" s="241">
        <v>0.017694421190527124</v>
      </c>
      <c r="C579" s="241">
        <v>0.012</v>
      </c>
      <c r="D579" s="241">
        <v>0.029694421190527124</v>
      </c>
      <c r="E579" s="241">
        <v>6.484677787168408E-5</v>
      </c>
      <c r="F579" s="247">
        <v>0.6821801917949415</v>
      </c>
      <c r="G579" s="246">
        <v>6560.015451260307</v>
      </c>
      <c r="H579" s="247">
        <v>8461.055</v>
      </c>
      <c r="I579" s="247">
        <v>0.0</v>
      </c>
      <c r="J579" s="128">
        <v>51815.645</v>
      </c>
    </row>
    <row r="580">
      <c r="A580" s="245">
        <v>42814.0</v>
      </c>
      <c r="B580" s="241">
        <v>0.017691333248723712</v>
      </c>
      <c r="C580" s="241">
        <v>0.012</v>
      </c>
      <c r="D580" s="241">
        <v>0.029691333248723712</v>
      </c>
      <c r="E580" s="241">
        <v>6.484677787168408E-5</v>
      </c>
      <c r="F580" s="247">
        <v>0.6821801917949415</v>
      </c>
      <c r="G580" s="246">
        <v>6559.333271068512</v>
      </c>
      <c r="H580" s="247">
        <v>8461.055</v>
      </c>
      <c r="I580" s="247">
        <v>0.0</v>
      </c>
      <c r="J580" s="128">
        <v>51852.998999999996</v>
      </c>
    </row>
    <row r="581">
      <c r="A581" s="245">
        <v>42811.0</v>
      </c>
      <c r="B581" s="241">
        <v>0.0176882453069203</v>
      </c>
      <c r="C581" s="241">
        <v>0.012</v>
      </c>
      <c r="D581" s="241">
        <v>0.0296882453069203</v>
      </c>
      <c r="E581" s="241">
        <v>6.484677787168408E-5</v>
      </c>
      <c r="F581" s="247">
        <v>0.6821801917949415</v>
      </c>
      <c r="G581" s="246">
        <v>6558.651090876717</v>
      </c>
      <c r="H581" s="247">
        <v>8461.055</v>
      </c>
      <c r="I581" s="247">
        <v>0.0</v>
      </c>
      <c r="J581" s="128">
        <v>51726.562999999995</v>
      </c>
    </row>
    <row r="582">
      <c r="A582" s="245">
        <v>42810.0</v>
      </c>
      <c r="B582" s="241">
        <v>0.017685157365116888</v>
      </c>
      <c r="C582" s="241">
        <v>0.012</v>
      </c>
      <c r="D582" s="241">
        <v>0.02968515736511689</v>
      </c>
      <c r="E582" s="241">
        <v>6.484677787168408E-5</v>
      </c>
      <c r="F582" s="247">
        <v>0.6821801917949415</v>
      </c>
      <c r="G582" s="246">
        <v>6557.968910684922</v>
      </c>
      <c r="H582" s="247">
        <v>8461.055</v>
      </c>
      <c r="I582" s="247">
        <v>0.0</v>
      </c>
      <c r="J582" s="128">
        <v>51733.76699999999</v>
      </c>
    </row>
    <row r="583">
      <c r="A583" s="245">
        <v>42809.0</v>
      </c>
      <c r="B583" s="241">
        <v>0.017682069423313476</v>
      </c>
      <c r="C583" s="241">
        <v>0.012</v>
      </c>
      <c r="D583" s="241">
        <v>0.029682069423313476</v>
      </c>
      <c r="E583" s="241">
        <v>6.484677787168408E-5</v>
      </c>
      <c r="F583" s="247">
        <v>0.6821801917949415</v>
      </c>
      <c r="G583" s="246">
        <v>6557.286730493127</v>
      </c>
      <c r="H583" s="247">
        <v>8461.055</v>
      </c>
      <c r="I583" s="247">
        <v>0.0</v>
      </c>
      <c r="J583" s="128">
        <v>51418.506</v>
      </c>
    </row>
    <row r="584">
      <c r="A584" s="245">
        <v>42808.0</v>
      </c>
      <c r="B584" s="241">
        <v>0.017678981481510064</v>
      </c>
      <c r="C584" s="241">
        <v>0.012</v>
      </c>
      <c r="D584" s="241">
        <v>0.029678981481510065</v>
      </c>
      <c r="E584" s="241">
        <v>6.484677787168408E-5</v>
      </c>
      <c r="F584" s="247">
        <v>0.6821801917949415</v>
      </c>
      <c r="G584" s="246">
        <v>6556.604550301332</v>
      </c>
      <c r="H584" s="247">
        <v>8461.055</v>
      </c>
      <c r="I584" s="247">
        <v>0.0</v>
      </c>
      <c r="J584" s="128">
        <v>51444.84299999999</v>
      </c>
    </row>
    <row r="585">
      <c r="A585" s="245">
        <v>42807.0</v>
      </c>
      <c r="B585" s="241">
        <v>0.017675893539706652</v>
      </c>
      <c r="C585" s="241">
        <v>0.012</v>
      </c>
      <c r="D585" s="241">
        <v>0.029675893539706653</v>
      </c>
      <c r="E585" s="241">
        <v>6.484677787168408E-5</v>
      </c>
      <c r="F585" s="247">
        <v>0.6821801917949415</v>
      </c>
      <c r="G585" s="246">
        <v>6555.922370109537</v>
      </c>
      <c r="H585" s="247">
        <v>8461.055</v>
      </c>
      <c r="I585" s="247">
        <v>0.0</v>
      </c>
      <c r="J585" s="128">
        <v>51375.229</v>
      </c>
    </row>
    <row r="586">
      <c r="A586" s="245">
        <v>42804.0</v>
      </c>
      <c r="B586" s="241">
        <v>0.01767280559790324</v>
      </c>
      <c r="C586" s="241">
        <v>0.012</v>
      </c>
      <c r="D586" s="241">
        <v>0.02967280559790324</v>
      </c>
      <c r="E586" s="241">
        <v>6.484677787168408E-5</v>
      </c>
      <c r="F586" s="247">
        <v>0.6821801917949415</v>
      </c>
      <c r="G586" s="246">
        <v>6555.240189917742</v>
      </c>
      <c r="H586" s="247">
        <v>8461.055</v>
      </c>
      <c r="I586" s="247">
        <v>0.0</v>
      </c>
      <c r="J586" s="128">
        <v>51196.176</v>
      </c>
    </row>
    <row r="587">
      <c r="A587" s="245">
        <v>42803.0</v>
      </c>
      <c r="B587" s="241">
        <v>0.01766971765609983</v>
      </c>
      <c r="C587" s="241">
        <v>0.012</v>
      </c>
      <c r="D587" s="241">
        <v>0.02966971765609983</v>
      </c>
      <c r="E587" s="241">
        <v>6.484677787168408E-5</v>
      </c>
      <c r="F587" s="247">
        <v>0.6821801917949415</v>
      </c>
      <c r="G587" s="246">
        <v>6554.558009725947</v>
      </c>
      <c r="H587" s="247">
        <v>8461.055</v>
      </c>
      <c r="I587" s="247">
        <v>0.0</v>
      </c>
      <c r="J587" s="128">
        <v>51722.808</v>
      </c>
    </row>
    <row r="588">
      <c r="A588" s="245">
        <v>42802.0</v>
      </c>
      <c r="B588" s="241">
        <v>0.017666629714296417</v>
      </c>
      <c r="C588" s="241">
        <v>0.012</v>
      </c>
      <c r="D588" s="241">
        <v>0.029666629714296417</v>
      </c>
      <c r="E588" s="241">
        <v>6.484677787168408E-5</v>
      </c>
      <c r="F588" s="247">
        <v>0.6821801917949415</v>
      </c>
      <c r="G588" s="246">
        <v>6553.875829534152</v>
      </c>
      <c r="H588" s="247">
        <v>8461.055</v>
      </c>
      <c r="I588" s="247">
        <v>0.0</v>
      </c>
      <c r="J588" s="128">
        <v>52042.236999999994</v>
      </c>
    </row>
    <row r="589">
      <c r="A589" s="245">
        <v>42801.0</v>
      </c>
      <c r="B589" s="28">
        <v>0.017663541772493005</v>
      </c>
      <c r="C589" s="28">
        <v>0.012</v>
      </c>
      <c r="D589" s="173">
        <v>0.029663541772493005</v>
      </c>
      <c r="E589" s="173">
        <v>-0.009114718993693285</v>
      </c>
      <c r="F589" s="247">
        <v>-183.05457889601803</v>
      </c>
      <c r="G589" s="246">
        <v>6553.193649342357</v>
      </c>
      <c r="H589" s="247">
        <v>8461.055</v>
      </c>
      <c r="I589" s="247">
        <v>0.0</v>
      </c>
      <c r="J589" s="128">
        <v>52222.795</v>
      </c>
    </row>
    <row r="590">
      <c r="A590" s="245">
        <v>42800.0</v>
      </c>
      <c r="B590" s="241">
        <v>0.01849215259010148</v>
      </c>
      <c r="C590" s="241">
        <v>0.012</v>
      </c>
      <c r="D590" s="241">
        <v>0.030492152590101476</v>
      </c>
      <c r="E590" s="241">
        <v>-0.009114718993693285</v>
      </c>
      <c r="F590" s="247">
        <v>-183.05457889602258</v>
      </c>
      <c r="G590" s="246">
        <v>6736.248228238375</v>
      </c>
      <c r="H590" s="247">
        <v>8804.175000000001</v>
      </c>
      <c r="I590" s="247">
        <v>0.0</v>
      </c>
      <c r="J590" s="128">
        <v>52481.078</v>
      </c>
    </row>
    <row r="591">
      <c r="A591" s="245">
        <v>42797.0</v>
      </c>
      <c r="B591" s="241">
        <v>0.01932076340770996</v>
      </c>
      <c r="C591" s="241">
        <v>0.012</v>
      </c>
      <c r="D591" s="241">
        <v>0.03132076340770996</v>
      </c>
      <c r="E591" s="241">
        <v>-0.009114718993693285</v>
      </c>
      <c r="F591" s="247">
        <v>-183.05457889602258</v>
      </c>
      <c r="G591" s="246">
        <v>6919.302807134398</v>
      </c>
      <c r="H591" s="247">
        <v>8804.175000000001</v>
      </c>
      <c r="I591" s="247">
        <v>0.0</v>
      </c>
      <c r="J591" s="128">
        <v>52540.972</v>
      </c>
    </row>
    <row r="592">
      <c r="A592" s="245">
        <v>42796.0</v>
      </c>
      <c r="B592" s="241">
        <v>0.020149374225318442</v>
      </c>
      <c r="C592" s="241">
        <v>0.012</v>
      </c>
      <c r="D592" s="241">
        <v>0.03214937422531844</v>
      </c>
      <c r="E592" s="241">
        <v>-0.009114718993693285</v>
      </c>
      <c r="F592" s="247">
        <v>-183.05457889602258</v>
      </c>
      <c r="G592" s="246">
        <v>7102.3573860304205</v>
      </c>
      <c r="H592" s="247">
        <v>8804.175000000001</v>
      </c>
      <c r="I592" s="247">
        <v>0.0</v>
      </c>
      <c r="J592" s="128">
        <v>53108.304000000004</v>
      </c>
    </row>
    <row r="593">
      <c r="A593" s="245">
        <v>42795.0</v>
      </c>
      <c r="B593" s="241">
        <v>0.020977985042926924</v>
      </c>
      <c r="C593" s="241">
        <v>0.012</v>
      </c>
      <c r="D593" s="241">
        <v>0.03297798504292692</v>
      </c>
      <c r="E593" s="241">
        <v>-0.009114718993693285</v>
      </c>
      <c r="F593" s="247">
        <v>-183.05457889602258</v>
      </c>
      <c r="G593" s="246">
        <v>7285.411964926443</v>
      </c>
      <c r="H593" s="247">
        <v>8804.175000000001</v>
      </c>
      <c r="I593" s="247">
        <v>0.0</v>
      </c>
      <c r="J593" s="128">
        <v>53141.799000000006</v>
      </c>
    </row>
    <row r="594">
      <c r="A594" s="245">
        <v>42794.0</v>
      </c>
      <c r="B594" s="241">
        <v>0.021806595860535405</v>
      </c>
      <c r="C594" s="241">
        <v>0.012</v>
      </c>
      <c r="D594" s="241">
        <v>0.0338065958605354</v>
      </c>
      <c r="E594" s="241">
        <v>-0.009114718993693285</v>
      </c>
      <c r="F594" s="247">
        <v>-183.05457889602258</v>
      </c>
      <c r="G594" s="246">
        <v>7468.466543822466</v>
      </c>
      <c r="H594" s="247">
        <v>8804.175000000001</v>
      </c>
      <c r="I594" s="247">
        <v>0.0</v>
      </c>
      <c r="J594" s="128">
        <v>53257.061</v>
      </c>
    </row>
    <row r="595">
      <c r="A595" s="245">
        <v>42793.0</v>
      </c>
      <c r="B595" s="241">
        <v>0.022635206678143886</v>
      </c>
      <c r="C595" s="241">
        <v>0.012</v>
      </c>
      <c r="D595" s="241">
        <v>0.03463520667814388</v>
      </c>
      <c r="E595" s="241">
        <v>-0.009114718993693285</v>
      </c>
      <c r="F595" s="247">
        <v>-183.05457889602258</v>
      </c>
      <c r="G595" s="246">
        <v>7651.521122718488</v>
      </c>
      <c r="H595" s="247">
        <v>8804.175000000001</v>
      </c>
      <c r="I595" s="247">
        <v>0.0</v>
      </c>
      <c r="J595" s="128">
        <v>53415.26</v>
      </c>
    </row>
    <row r="596">
      <c r="A596" s="245">
        <v>42790.0</v>
      </c>
      <c r="B596" s="241">
        <v>0.023463817495752368</v>
      </c>
      <c r="C596" s="241">
        <v>0.012</v>
      </c>
      <c r="D596" s="241">
        <v>0.035463817495752364</v>
      </c>
      <c r="E596" s="241">
        <v>-0.009114718993693285</v>
      </c>
      <c r="F596" s="247">
        <v>-183.05457889602258</v>
      </c>
      <c r="G596" s="246">
        <v>7834.575701614511</v>
      </c>
      <c r="H596" s="247">
        <v>8804.175000000001</v>
      </c>
      <c r="I596" s="247">
        <v>0.0</v>
      </c>
      <c r="J596" s="128">
        <v>53448.011999999995</v>
      </c>
    </row>
    <row r="597">
      <c r="A597" s="245">
        <v>42789.0</v>
      </c>
      <c r="B597" s="241">
        <v>0.02429242831336085</v>
      </c>
      <c r="C597" s="241">
        <v>0.012</v>
      </c>
      <c r="D597" s="241">
        <v>0.036292428313360846</v>
      </c>
      <c r="E597" s="241">
        <v>-0.009114718993693285</v>
      </c>
      <c r="F597" s="247">
        <v>-183.05457889602258</v>
      </c>
      <c r="G597" s="246">
        <v>8017.630280510533</v>
      </c>
      <c r="H597" s="247">
        <v>8804.175000000001</v>
      </c>
      <c r="I597" s="247">
        <v>0.0</v>
      </c>
      <c r="J597" s="128">
        <v>53114.863999999994</v>
      </c>
    </row>
    <row r="598">
      <c r="A598" s="245">
        <v>42788.0</v>
      </c>
      <c r="B598" s="241">
        <v>0.02512103913096933</v>
      </c>
      <c r="C598" s="241">
        <v>0.012</v>
      </c>
      <c r="D598" s="241">
        <v>0.03712103913096933</v>
      </c>
      <c r="E598" s="241">
        <v>-0.009114718993693285</v>
      </c>
      <c r="F598" s="247">
        <v>-183.05457889602258</v>
      </c>
      <c r="G598" s="246">
        <v>8200.684859406556</v>
      </c>
      <c r="H598" s="247">
        <v>8804.175000000001</v>
      </c>
      <c r="I598" s="247">
        <v>0.0</v>
      </c>
      <c r="J598" s="128">
        <v>52915.802</v>
      </c>
    </row>
    <row r="599">
      <c r="A599" s="245">
        <v>42787.0</v>
      </c>
      <c r="B599" s="241">
        <v>0.025949649948577812</v>
      </c>
      <c r="C599" s="241">
        <v>0.012</v>
      </c>
      <c r="D599" s="241">
        <v>0.03794964994857781</v>
      </c>
      <c r="E599" s="241">
        <v>-0.009114718993693285</v>
      </c>
      <c r="F599" s="247">
        <v>-183.05457889602258</v>
      </c>
      <c r="G599" s="246">
        <v>8383.739438302578</v>
      </c>
      <c r="H599" s="247">
        <v>8804.175000000001</v>
      </c>
      <c r="I599" s="247">
        <v>0.0</v>
      </c>
      <c r="J599" s="128">
        <v>52997.511999999995</v>
      </c>
    </row>
    <row r="600">
      <c r="A600" s="245">
        <v>42786.0</v>
      </c>
      <c r="B600" s="28">
        <v>0.026778260766186293</v>
      </c>
      <c r="C600" s="28">
        <v>0.012</v>
      </c>
      <c r="D600" s="173">
        <v>0.03877826076618629</v>
      </c>
      <c r="E600" s="173">
        <v>7.017862405224451E-5</v>
      </c>
      <c r="F600" s="247">
        <v>2.583946970917168</v>
      </c>
      <c r="G600" s="246">
        <v>8566.794017198601</v>
      </c>
      <c r="H600" s="247">
        <v>8804.175000000001</v>
      </c>
      <c r="I600" s="247">
        <v>0.0</v>
      </c>
      <c r="J600" s="128">
        <v>53215.134</v>
      </c>
    </row>
    <row r="601">
      <c r="A601" s="245">
        <v>42783.0</v>
      </c>
      <c r="B601" s="241">
        <v>0.026766564328844247</v>
      </c>
      <c r="C601" s="241">
        <v>0.012</v>
      </c>
      <c r="D601" s="241">
        <v>0.03876656432884426</v>
      </c>
      <c r="E601" s="241">
        <v>7.017862405224451E-5</v>
      </c>
      <c r="F601" s="247">
        <v>2.583946970920806</v>
      </c>
      <c r="G601" s="246">
        <v>8564.210070227684</v>
      </c>
      <c r="H601" s="247">
        <v>8804.175000000001</v>
      </c>
      <c r="I601" s="247">
        <v>0.0</v>
      </c>
      <c r="J601" s="128">
        <v>53185.692</v>
      </c>
    </row>
    <row r="602">
      <c r="A602" s="245">
        <v>42782.0</v>
      </c>
      <c r="B602" s="241">
        <v>0.026754867891502207</v>
      </c>
      <c r="C602" s="241">
        <v>0.012</v>
      </c>
      <c r="D602" s="241">
        <v>0.03875486789150222</v>
      </c>
      <c r="E602" s="241">
        <v>7.017862405224451E-5</v>
      </c>
      <c r="F602" s="247">
        <v>2.583946970920806</v>
      </c>
      <c r="G602" s="246">
        <v>8561.626123256763</v>
      </c>
      <c r="H602" s="247">
        <v>8804.175000000001</v>
      </c>
      <c r="I602" s="247">
        <v>0.0</v>
      </c>
      <c r="J602" s="128">
        <v>52998.88</v>
      </c>
    </row>
    <row r="603">
      <c r="A603" s="245">
        <v>42781.0</v>
      </c>
      <c r="B603" s="241">
        <v>0.026743171454160167</v>
      </c>
      <c r="C603" s="241">
        <v>0.012</v>
      </c>
      <c r="D603" s="241">
        <v>0.038743171454160175</v>
      </c>
      <c r="E603" s="241">
        <v>7.017862405224451E-5</v>
      </c>
      <c r="F603" s="247">
        <v>2.583946970920806</v>
      </c>
      <c r="G603" s="246">
        <v>8559.042176285842</v>
      </c>
      <c r="H603" s="247">
        <v>8804.175000000001</v>
      </c>
      <c r="I603" s="247">
        <v>0.0</v>
      </c>
      <c r="J603" s="128">
        <v>53048.036</v>
      </c>
    </row>
    <row r="604">
      <c r="A604" s="245">
        <v>42780.0</v>
      </c>
      <c r="B604" s="241">
        <v>0.026731475016818128</v>
      </c>
      <c r="C604" s="241">
        <v>0.012</v>
      </c>
      <c r="D604" s="241">
        <v>0.03873147501681813</v>
      </c>
      <c r="E604" s="241">
        <v>7.017862405224451E-5</v>
      </c>
      <c r="F604" s="247">
        <v>2.583946970920806</v>
      </c>
      <c r="G604" s="246">
        <v>8556.458229314921</v>
      </c>
      <c r="H604" s="247">
        <v>8804.175000000001</v>
      </c>
      <c r="I604" s="247">
        <v>0.0</v>
      </c>
      <c r="J604" s="128">
        <v>52992.16799999999</v>
      </c>
    </row>
    <row r="605">
      <c r="A605" s="245">
        <v>42779.0</v>
      </c>
      <c r="B605" s="241">
        <v>0.026719778579476088</v>
      </c>
      <c r="C605" s="241">
        <v>0.012</v>
      </c>
      <c r="D605" s="241">
        <v>0.03871977857947609</v>
      </c>
      <c r="E605" s="241">
        <v>7.017862405224451E-5</v>
      </c>
      <c r="F605" s="247">
        <v>2.583946970918987</v>
      </c>
      <c r="G605" s="246">
        <v>8553.874282344</v>
      </c>
      <c r="H605" s="247">
        <v>8804.175000000001</v>
      </c>
      <c r="I605" s="247">
        <v>0.0</v>
      </c>
      <c r="J605" s="128">
        <v>52818.00199999999</v>
      </c>
    </row>
    <row r="606">
      <c r="A606" s="245">
        <v>42776.0</v>
      </c>
      <c r="B606" s="28">
        <v>0.02670808214213405</v>
      </c>
      <c r="C606" s="28">
        <v>0.012</v>
      </c>
      <c r="D606" s="173">
        <v>0.038708082142134045</v>
      </c>
      <c r="E606" s="173">
        <v>0.011948226836911068</v>
      </c>
      <c r="F606" s="247">
        <v>329.94645762915206</v>
      </c>
      <c r="G606" s="246">
        <v>8551.290335373082</v>
      </c>
      <c r="H606" s="247">
        <v>8804.175000000001</v>
      </c>
      <c r="I606" s="247">
        <v>0.0</v>
      </c>
      <c r="J606" s="128">
        <v>52929.407999999996</v>
      </c>
    </row>
    <row r="607">
      <c r="A607" s="245">
        <v>42775.0</v>
      </c>
      <c r="B607" s="241">
        <v>0.025227053787520173</v>
      </c>
      <c r="C607" s="241">
        <v>0.011987500000000003</v>
      </c>
      <c r="D607" s="241">
        <v>0.03721455378752016</v>
      </c>
      <c r="E607" s="248">
        <v>0.011948226836911068</v>
      </c>
      <c r="F607" s="247">
        <v>329.94645762915115</v>
      </c>
      <c r="G607" s="246">
        <v>8221.34387774393</v>
      </c>
      <c r="H607" s="247">
        <v>8804.175000000001</v>
      </c>
      <c r="I607" s="247">
        <v>0.0</v>
      </c>
      <c r="J607" s="128">
        <v>52803.942</v>
      </c>
    </row>
    <row r="608">
      <c r="A608" s="245">
        <v>42774.0</v>
      </c>
      <c r="B608" s="241">
        <v>0.023746025432906288</v>
      </c>
      <c r="C608" s="241">
        <v>0.011975000000000003</v>
      </c>
      <c r="D608" s="241">
        <v>0.03572102543290628</v>
      </c>
      <c r="E608" s="248">
        <v>0.011948226836911068</v>
      </c>
      <c r="F608" s="247">
        <v>329.94645762915206</v>
      </c>
      <c r="G608" s="246">
        <v>7891.3974201147785</v>
      </c>
      <c r="H608" s="247">
        <v>8804.175000000001</v>
      </c>
      <c r="I608" s="247">
        <v>0.0</v>
      </c>
      <c r="J608" s="128">
        <v>52828.952</v>
      </c>
    </row>
    <row r="609">
      <c r="A609" s="245">
        <v>42773.0</v>
      </c>
      <c r="B609" s="241">
        <v>0.022264997078292402</v>
      </c>
      <c r="C609" s="241">
        <v>0.011962500000000003</v>
      </c>
      <c r="D609" s="241">
        <v>0.034227497078292396</v>
      </c>
      <c r="E609" s="248">
        <v>0.011948226836911068</v>
      </c>
      <c r="F609" s="247">
        <v>329.94645762915206</v>
      </c>
      <c r="G609" s="246">
        <v>7561.450962485626</v>
      </c>
      <c r="H609" s="247">
        <v>8804.175000000001</v>
      </c>
      <c r="I609" s="247">
        <v>0.0</v>
      </c>
      <c r="J609" s="128">
        <v>52656.64</v>
      </c>
    </row>
    <row r="610">
      <c r="A610" s="245">
        <v>42772.0</v>
      </c>
      <c r="B610" s="241">
        <v>0.020783968723678516</v>
      </c>
      <c r="C610" s="241">
        <v>0.011950000000000002</v>
      </c>
      <c r="D610" s="241">
        <v>0.032733968723678515</v>
      </c>
      <c r="E610" s="248">
        <v>0.011948226836911068</v>
      </c>
      <c r="F610" s="247">
        <v>329.94645762915206</v>
      </c>
      <c r="G610" s="246">
        <v>7231.504504856474</v>
      </c>
      <c r="H610" s="247">
        <v>8804.175000000001</v>
      </c>
      <c r="I610" s="247">
        <v>0.0</v>
      </c>
      <c r="J610" s="128">
        <v>52245.87</v>
      </c>
    </row>
    <row r="611">
      <c r="A611" s="245">
        <v>42769.0</v>
      </c>
      <c r="B611" s="241">
        <v>0.01930294036906463</v>
      </c>
      <c r="C611" s="241">
        <v>0.011937500000000002</v>
      </c>
      <c r="D611" s="241">
        <v>0.03124044036906463</v>
      </c>
      <c r="E611" s="248">
        <v>0.011948226836911068</v>
      </c>
      <c r="F611" s="247">
        <v>329.94645762915206</v>
      </c>
      <c r="G611" s="246">
        <v>6901.558047227322</v>
      </c>
      <c r="H611" s="247">
        <v>8804.175000000001</v>
      </c>
      <c r="I611" s="247">
        <v>0.0</v>
      </c>
      <c r="J611" s="128">
        <v>51769.064</v>
      </c>
    </row>
    <row r="612">
      <c r="A612" s="245">
        <v>42768.0</v>
      </c>
      <c r="B612" s="241">
        <v>0.017821912014450745</v>
      </c>
      <c r="C612" s="241">
        <v>0.011925000000000002</v>
      </c>
      <c r="D612" s="241">
        <v>0.029746912014450747</v>
      </c>
      <c r="E612" s="248">
        <v>0.011948226836911068</v>
      </c>
      <c r="F612" s="247">
        <v>329.94645762915206</v>
      </c>
      <c r="G612" s="246">
        <v>6571.61158959817</v>
      </c>
      <c r="H612" s="247">
        <v>8804.175000000001</v>
      </c>
      <c r="I612" s="247">
        <v>0.0</v>
      </c>
      <c r="J612" s="128">
        <v>51569.742</v>
      </c>
    </row>
    <row r="613">
      <c r="A613" s="245">
        <v>42767.0</v>
      </c>
      <c r="B613" s="241">
        <v>0.01634088365983686</v>
      </c>
      <c r="C613" s="241">
        <v>0.011912500000000001</v>
      </c>
      <c r="D613" s="241">
        <v>0.028253383659836862</v>
      </c>
      <c r="E613" s="248">
        <v>0.011948226836911068</v>
      </c>
      <c r="F613" s="247">
        <v>329.94645762915206</v>
      </c>
      <c r="G613" s="246">
        <v>6241.665131969018</v>
      </c>
      <c r="H613" s="247">
        <v>8804.175000000001</v>
      </c>
      <c r="I613" s="247">
        <v>0.0</v>
      </c>
      <c r="J613" s="128">
        <v>51398.018</v>
      </c>
    </row>
    <row r="614">
      <c r="A614" s="245">
        <v>42766.0</v>
      </c>
      <c r="B614" s="28">
        <v>0.014859855305222975</v>
      </c>
      <c r="C614" s="28">
        <v>0.0119</v>
      </c>
      <c r="D614" s="173">
        <v>0.026759855305222978</v>
      </c>
      <c r="E614" s="173">
        <v>0.006180681136144374</v>
      </c>
      <c r="F614" s="247">
        <v>26.258081566816145</v>
      </c>
      <c r="G614" s="246">
        <v>5911.718674339866</v>
      </c>
      <c r="H614" s="247">
        <v>8804.175000000001</v>
      </c>
      <c r="I614" s="247">
        <v>0.0</v>
      </c>
      <c r="J614" s="128">
        <v>51457.831999999995</v>
      </c>
    </row>
    <row r="615">
      <c r="A615" s="245">
        <v>42765.0</v>
      </c>
      <c r="B615" s="241">
        <v>0.014760226821835587</v>
      </c>
      <c r="C615" s="241">
        <v>0.011880769230769252</v>
      </c>
      <c r="D615" s="241">
        <v>0.026640996052604837</v>
      </c>
      <c r="E615" s="248">
        <v>0.006180681136144374</v>
      </c>
      <c r="F615" s="247">
        <v>26.258081566820692</v>
      </c>
      <c r="G615" s="246">
        <v>5885.46059277305</v>
      </c>
      <c r="H615" s="247">
        <v>8804.175000000001</v>
      </c>
      <c r="I615" s="247">
        <v>0.0</v>
      </c>
      <c r="J615" s="128">
        <v>51480.806</v>
      </c>
    </row>
    <row r="616">
      <c r="A616" s="245">
        <v>42762.0</v>
      </c>
      <c r="B616" s="241">
        <v>0.014660598338448195</v>
      </c>
      <c r="C616" s="241">
        <v>0.011861538461538482</v>
      </c>
      <c r="D616" s="241">
        <v>0.026522136799986676</v>
      </c>
      <c r="E616" s="248">
        <v>0.006180681136144374</v>
      </c>
      <c r="F616" s="247">
        <v>26.258081566820692</v>
      </c>
      <c r="G616" s="246">
        <v>5859.202511206229</v>
      </c>
      <c r="H616" s="247">
        <v>8804.175000000001</v>
      </c>
      <c r="I616" s="247">
        <v>0.0</v>
      </c>
      <c r="J616" s="128">
        <v>51302.426</v>
      </c>
    </row>
    <row r="617">
      <c r="A617" s="245">
        <v>42761.0</v>
      </c>
      <c r="B617" s="241">
        <v>0.014560969855060803</v>
      </c>
      <c r="C617" s="241">
        <v>0.011842307692307713</v>
      </c>
      <c r="D617" s="241">
        <v>0.026403277547368514</v>
      </c>
      <c r="E617" s="248">
        <v>0.006180681136144374</v>
      </c>
      <c r="F617" s="247">
        <v>26.258081566820692</v>
      </c>
      <c r="G617" s="246">
        <v>5832.944429639409</v>
      </c>
      <c r="H617" s="247">
        <v>8804.175000000001</v>
      </c>
      <c r="I617" s="247">
        <v>0.0</v>
      </c>
      <c r="J617" s="128">
        <v>51362.613999999994</v>
      </c>
    </row>
    <row r="618">
      <c r="A618" s="245">
        <v>42760.0</v>
      </c>
      <c r="B618" s="241">
        <v>0.014461341371673412</v>
      </c>
      <c r="C618" s="241">
        <v>0.011823076923076943</v>
      </c>
      <c r="D618" s="241">
        <v>0.026284418294750353</v>
      </c>
      <c r="E618" s="248">
        <v>0.006180681136144374</v>
      </c>
      <c r="F618" s="247">
        <v>26.258081566820692</v>
      </c>
      <c r="G618" s="246">
        <v>5806.686348072588</v>
      </c>
      <c r="H618" s="247">
        <v>8804.175000000001</v>
      </c>
      <c r="I618" s="247">
        <v>0.0</v>
      </c>
      <c r="J618" s="128">
        <v>51366.494</v>
      </c>
    </row>
    <row r="619">
      <c r="A619" s="245">
        <v>42759.0</v>
      </c>
      <c r="B619" s="241">
        <v>0.01436171288828602</v>
      </c>
      <c r="C619" s="241">
        <v>0.011803846153846173</v>
      </c>
      <c r="D619" s="241">
        <v>0.02616555904213219</v>
      </c>
      <c r="E619" s="248">
        <v>0.006180681136144374</v>
      </c>
      <c r="F619" s="247">
        <v>26.258081566820692</v>
      </c>
      <c r="G619" s="246">
        <v>5780.428266505767</v>
      </c>
      <c r="H619" s="247">
        <v>8804.175000000001</v>
      </c>
      <c r="I619" s="247">
        <v>0.0</v>
      </c>
      <c r="J619" s="128">
        <v>51682.725999999995</v>
      </c>
    </row>
    <row r="620">
      <c r="A620" s="245">
        <v>42758.0</v>
      </c>
      <c r="B620" s="241">
        <v>0.014262084404898628</v>
      </c>
      <c r="C620" s="241">
        <v>0.011784615384615404</v>
      </c>
      <c r="D620" s="241">
        <v>0.02604669978951403</v>
      </c>
      <c r="E620" s="248">
        <v>0.006180681136144374</v>
      </c>
      <c r="F620" s="247">
        <v>26.258081566820692</v>
      </c>
      <c r="G620" s="246">
        <v>5754.1701849389465</v>
      </c>
      <c r="H620" s="247">
        <v>8804.175000000001</v>
      </c>
      <c r="I620" s="247">
        <v>0.0</v>
      </c>
      <c r="J620" s="128">
        <v>51851.76</v>
      </c>
    </row>
    <row r="621">
      <c r="A621" s="245">
        <v>42755.0</v>
      </c>
      <c r="B621" s="241">
        <v>0.014162455921511236</v>
      </c>
      <c r="C621" s="241">
        <v>0.011765384615384634</v>
      </c>
      <c r="D621" s="241">
        <v>0.02592784053689587</v>
      </c>
      <c r="E621" s="248">
        <v>0.006180681136144374</v>
      </c>
      <c r="F621" s="247">
        <v>26.258081566820692</v>
      </c>
      <c r="G621" s="246">
        <v>5727.912103372126</v>
      </c>
      <c r="H621" s="247">
        <v>8804.175000000001</v>
      </c>
      <c r="I621" s="247">
        <v>0.0</v>
      </c>
      <c r="J621" s="128">
        <v>51741.93200000001</v>
      </c>
    </row>
    <row r="622">
      <c r="A622" s="245">
        <v>42754.0</v>
      </c>
      <c r="B622" s="241">
        <v>0.014062827438123844</v>
      </c>
      <c r="C622" s="241">
        <v>0.011746153846153864</v>
      </c>
      <c r="D622" s="241">
        <v>0.025808981284277707</v>
      </c>
      <c r="E622" s="248">
        <v>0.006180681136144374</v>
      </c>
      <c r="F622" s="247">
        <v>26.258081566820692</v>
      </c>
      <c r="G622" s="246">
        <v>5701.654021805305</v>
      </c>
      <c r="H622" s="247">
        <v>8804.175000000001</v>
      </c>
      <c r="I622" s="247">
        <v>0.0</v>
      </c>
      <c r="J622" s="128">
        <v>51899.048</v>
      </c>
    </row>
    <row r="623">
      <c r="A623" s="245">
        <v>42753.0</v>
      </c>
      <c r="B623" s="241">
        <v>0.013963198954736453</v>
      </c>
      <c r="C623" s="241">
        <v>0.011726923076923095</v>
      </c>
      <c r="D623" s="241">
        <v>0.025690122031659546</v>
      </c>
      <c r="E623" s="248">
        <v>0.006180681136144374</v>
      </c>
      <c r="F623" s="247">
        <v>26.258081566820692</v>
      </c>
      <c r="G623" s="246">
        <v>5675.395940238484</v>
      </c>
      <c r="H623" s="247">
        <v>8804.175000000001</v>
      </c>
      <c r="I623" s="247">
        <v>0.0</v>
      </c>
      <c r="J623" s="128">
        <v>52099.162000000004</v>
      </c>
    </row>
    <row r="624">
      <c r="A624" s="245">
        <v>42752.0</v>
      </c>
      <c r="B624" s="241">
        <v>0.013863570471349061</v>
      </c>
      <c r="C624" s="241">
        <v>0.011707692307692325</v>
      </c>
      <c r="D624" s="241">
        <v>0.025571262779041384</v>
      </c>
      <c r="E624" s="248">
        <v>0.006180681136144374</v>
      </c>
      <c r="F624" s="247">
        <v>26.258081566820692</v>
      </c>
      <c r="G624" s="246">
        <v>5649.137858671664</v>
      </c>
      <c r="H624" s="247">
        <v>8804.175000000001</v>
      </c>
      <c r="I624" s="247">
        <v>0.0</v>
      </c>
      <c r="J624" s="128">
        <v>52063.398</v>
      </c>
    </row>
    <row r="625">
      <c r="A625" s="245">
        <v>42751.0</v>
      </c>
      <c r="B625" s="241">
        <v>0.013763941987961669</v>
      </c>
      <c r="C625" s="241">
        <v>0.011688461538461556</v>
      </c>
      <c r="D625" s="241">
        <v>0.025452403526423223</v>
      </c>
      <c r="E625" s="248">
        <v>0.006180681136144374</v>
      </c>
      <c r="F625" s="247">
        <v>26.258081566820692</v>
      </c>
      <c r="G625" s="246">
        <v>5622.879777104843</v>
      </c>
      <c r="H625" s="247">
        <v>8804.175000000001</v>
      </c>
      <c r="I625" s="247">
        <v>0.0</v>
      </c>
      <c r="J625" s="128">
        <v>52203.649999999994</v>
      </c>
    </row>
    <row r="626">
      <c r="A626" s="245">
        <v>42748.0</v>
      </c>
      <c r="B626" s="241">
        <v>0.013664313504574277</v>
      </c>
      <c r="C626" s="241">
        <v>0.011669230769230786</v>
      </c>
      <c r="D626" s="241">
        <v>0.02533354427380506</v>
      </c>
      <c r="E626" s="248">
        <v>0.006180681136144374</v>
      </c>
      <c r="F626" s="247">
        <v>26.258081566820692</v>
      </c>
      <c r="G626" s="246">
        <v>5596.621695538022</v>
      </c>
      <c r="H626" s="247">
        <v>8804.175000000001</v>
      </c>
      <c r="I626" s="247">
        <v>0.0</v>
      </c>
      <c r="J626" s="128">
        <v>51842.626</v>
      </c>
    </row>
    <row r="627">
      <c r="A627" s="245">
        <v>42747.0</v>
      </c>
      <c r="B627" s="241">
        <v>0.013564685021186886</v>
      </c>
      <c r="C627" s="241">
        <v>0.011650000000000016</v>
      </c>
      <c r="D627" s="241">
        <v>0.0252146850211869</v>
      </c>
      <c r="E627" s="248">
        <v>0.006180681136144374</v>
      </c>
      <c r="F627" s="247">
        <v>26.258081566820692</v>
      </c>
      <c r="G627" s="246">
        <v>5570.363613971202</v>
      </c>
      <c r="H627" s="247">
        <v>8804.175000000001</v>
      </c>
      <c r="I627" s="247">
        <v>0.0</v>
      </c>
      <c r="J627" s="128">
        <v>51892.481999999996</v>
      </c>
    </row>
    <row r="628">
      <c r="A628" s="245">
        <v>42746.0</v>
      </c>
      <c r="B628" s="241">
        <v>0.013465056537799494</v>
      </c>
      <c r="C628" s="241">
        <v>0.011630769230769247</v>
      </c>
      <c r="D628" s="241">
        <v>0.02509582576856874</v>
      </c>
      <c r="E628" s="248">
        <v>0.006180681136144374</v>
      </c>
      <c r="F628" s="247">
        <v>26.258081566820692</v>
      </c>
      <c r="G628" s="246">
        <v>5544.105532404381</v>
      </c>
      <c r="H628" s="247">
        <v>8804.175000000001</v>
      </c>
      <c r="I628" s="247">
        <v>0.0</v>
      </c>
      <c r="J628" s="128">
        <v>52170.596</v>
      </c>
    </row>
    <row r="629">
      <c r="A629" s="245">
        <v>42745.0</v>
      </c>
      <c r="B629" s="241">
        <v>0.013365428054412102</v>
      </c>
      <c r="C629" s="241">
        <v>0.011611538461538477</v>
      </c>
      <c r="D629" s="241">
        <v>0.024976966515950577</v>
      </c>
      <c r="E629" s="248">
        <v>0.006180681136144374</v>
      </c>
      <c r="F629" s="247">
        <v>26.258081566820692</v>
      </c>
      <c r="G629" s="246">
        <v>5517.84745083756</v>
      </c>
      <c r="H629" s="247">
        <v>8804.175000000001</v>
      </c>
      <c r="I629" s="247">
        <v>0.0</v>
      </c>
      <c r="J629" s="128">
        <v>51914.45</v>
      </c>
    </row>
    <row r="630">
      <c r="A630" s="245">
        <v>42744.0</v>
      </c>
      <c r="B630" s="241">
        <v>0.01326579957102471</v>
      </c>
      <c r="C630" s="241">
        <v>0.011592307692307707</v>
      </c>
      <c r="D630" s="241">
        <v>0.024858107263332416</v>
      </c>
      <c r="E630" s="248">
        <v>0.006180681136144374</v>
      </c>
      <c r="F630" s="247">
        <v>26.258081566820692</v>
      </c>
      <c r="G630" s="246">
        <v>5491.58936927074</v>
      </c>
      <c r="H630" s="247">
        <v>8804.175000000001</v>
      </c>
      <c r="I630" s="247">
        <v>0.0</v>
      </c>
      <c r="J630" s="128">
        <v>51768.852</v>
      </c>
    </row>
    <row r="631">
      <c r="A631" s="245">
        <v>42741.0</v>
      </c>
      <c r="B631" s="241">
        <v>0.013166171087637318</v>
      </c>
      <c r="C631" s="241">
        <v>0.011573076923076938</v>
      </c>
      <c r="D631" s="241">
        <v>0.024739248010714254</v>
      </c>
      <c r="E631" s="248">
        <v>0.006180681136144374</v>
      </c>
      <c r="F631" s="247">
        <v>26.258081566820692</v>
      </c>
      <c r="G631" s="246">
        <v>5465.331287703919</v>
      </c>
      <c r="H631" s="247">
        <v>8804.175000000001</v>
      </c>
      <c r="I631" s="247">
        <v>0.0</v>
      </c>
      <c r="J631" s="128">
        <v>51544.045999999995</v>
      </c>
    </row>
    <row r="632">
      <c r="A632" s="245">
        <v>42740.0</v>
      </c>
      <c r="B632" s="241">
        <v>0.013066542604249927</v>
      </c>
      <c r="C632" s="241">
        <v>0.011553846153846168</v>
      </c>
      <c r="D632" s="241">
        <v>0.024620388758096093</v>
      </c>
      <c r="E632" s="248">
        <v>0.006180681136144374</v>
      </c>
      <c r="F632" s="247">
        <v>26.258081566820692</v>
      </c>
      <c r="G632" s="246">
        <v>5439.073206137098</v>
      </c>
      <c r="H632" s="247">
        <v>8804.175000000001</v>
      </c>
      <c r="I632" s="247">
        <v>0.0</v>
      </c>
      <c r="J632" s="128">
        <v>51681.672000000006</v>
      </c>
    </row>
    <row r="633">
      <c r="A633" s="245">
        <v>42739.0</v>
      </c>
      <c r="B633" s="241">
        <v>0.012966914120862535</v>
      </c>
      <c r="C633" s="241">
        <v>0.011534615384615398</v>
      </c>
      <c r="D633" s="241">
        <v>0.02450152950547793</v>
      </c>
      <c r="E633" s="248">
        <v>0.006180681136144374</v>
      </c>
      <c r="F633" s="247">
        <v>26.258081566820692</v>
      </c>
      <c r="G633" s="246">
        <v>5412.8151245702775</v>
      </c>
      <c r="H633" s="247">
        <v>8804.175000000001</v>
      </c>
      <c r="I633" s="247">
        <v>0.0</v>
      </c>
      <c r="J633" s="128">
        <v>51624.664</v>
      </c>
    </row>
    <row r="634">
      <c r="A634" s="245">
        <v>42738.0</v>
      </c>
      <c r="B634" s="241">
        <v>0.012867285637475143</v>
      </c>
      <c r="C634" s="241">
        <v>0.011515384615384629</v>
      </c>
      <c r="D634" s="241">
        <v>0.02438267025285977</v>
      </c>
      <c r="E634" s="248">
        <v>0.006180681136144374</v>
      </c>
      <c r="F634" s="247">
        <v>26.258081566820692</v>
      </c>
      <c r="G634" s="246">
        <v>5386.557043003457</v>
      </c>
      <c r="H634" s="247">
        <v>8804.175000000001</v>
      </c>
      <c r="I634" s="247">
        <v>0.0</v>
      </c>
      <c r="J634" s="128">
        <v>51783.314000000006</v>
      </c>
    </row>
    <row r="635">
      <c r="A635" s="245">
        <v>42737.0</v>
      </c>
      <c r="B635" s="241">
        <v>0.012767657154087751</v>
      </c>
      <c r="C635" s="241">
        <v>0.011496153846153859</v>
      </c>
      <c r="D635" s="241">
        <v>0.02426381100024161</v>
      </c>
      <c r="E635" s="248">
        <v>0.006180681136144374</v>
      </c>
      <c r="F635" s="247">
        <v>26.258081566820692</v>
      </c>
      <c r="G635" s="246">
        <v>5360.298961436636</v>
      </c>
      <c r="H635" s="247">
        <v>8804.175000000001</v>
      </c>
      <c r="I635" s="247">
        <v>0.0</v>
      </c>
      <c r="J635" s="128">
        <v>51403.15</v>
      </c>
    </row>
    <row r="636">
      <c r="A636" s="245">
        <v>42734.0</v>
      </c>
      <c r="B636" s="241">
        <v>0.01266802867070036</v>
      </c>
      <c r="C636" s="241">
        <v>0.01147692307692309</v>
      </c>
      <c r="D636" s="241">
        <v>0.024144951747623447</v>
      </c>
      <c r="E636" s="248">
        <v>0.006180681136144374</v>
      </c>
      <c r="F636" s="247">
        <v>26.258081566820692</v>
      </c>
      <c r="G636" s="246">
        <v>5334.040879869815</v>
      </c>
      <c r="H636" s="247">
        <v>8804.175000000001</v>
      </c>
      <c r="I636" s="247">
        <v>0.0</v>
      </c>
      <c r="J636" s="128">
        <v>51025.03799999999</v>
      </c>
    </row>
    <row r="637">
      <c r="A637" s="245">
        <v>42733.0</v>
      </c>
      <c r="B637" s="241">
        <v>0.012568400187312968</v>
      </c>
      <c r="C637" s="241">
        <v>0.01145769230769232</v>
      </c>
      <c r="D637" s="241">
        <v>0.024026092495005286</v>
      </c>
      <c r="E637" s="248">
        <v>0.006180681136144374</v>
      </c>
      <c r="F637" s="247">
        <v>26.258081566820692</v>
      </c>
      <c r="G637" s="246">
        <v>5307.782798302995</v>
      </c>
      <c r="H637" s="247">
        <v>8804.175000000001</v>
      </c>
      <c r="I637" s="247">
        <v>0.0</v>
      </c>
      <c r="J637" s="128">
        <v>51334.507999999994</v>
      </c>
    </row>
    <row r="638">
      <c r="A638" s="245">
        <v>42732.0</v>
      </c>
      <c r="B638" s="241">
        <v>0.012468771703925576</v>
      </c>
      <c r="C638" s="241">
        <v>0.01143846153846155</v>
      </c>
      <c r="D638" s="241">
        <v>0.023907233242387124</v>
      </c>
      <c r="E638" s="248">
        <v>0.006180681136144374</v>
      </c>
      <c r="F638" s="247">
        <v>26.258081566820692</v>
      </c>
      <c r="G638" s="246">
        <v>5281.524716736174</v>
      </c>
      <c r="H638" s="247">
        <v>8804.175000000001</v>
      </c>
      <c r="I638" s="247">
        <v>0.0</v>
      </c>
      <c r="J638" s="128">
        <v>51269.708</v>
      </c>
    </row>
    <row r="639">
      <c r="A639" s="245">
        <v>42731.0</v>
      </c>
      <c r="B639" s="241">
        <v>0.012369143220538184</v>
      </c>
      <c r="C639" s="241">
        <v>0.01141923076923078</v>
      </c>
      <c r="D639" s="241">
        <v>0.023788373989768963</v>
      </c>
      <c r="E639" s="248">
        <v>0.006180681136144374</v>
      </c>
      <c r="F639" s="247">
        <v>26.258081566820692</v>
      </c>
      <c r="G639" s="246">
        <v>5255.266635169353</v>
      </c>
      <c r="H639" s="247">
        <v>8804.175000000001</v>
      </c>
      <c r="I639" s="247">
        <v>0.0</v>
      </c>
      <c r="J639" s="128">
        <v>50881.32</v>
      </c>
    </row>
    <row r="640">
      <c r="A640" s="245">
        <v>42727.0</v>
      </c>
      <c r="B640" s="241">
        <v>0.012269514737150792</v>
      </c>
      <c r="C640" s="241">
        <v>0.01140000000000001</v>
      </c>
      <c r="D640" s="241">
        <v>0.0236695147371508</v>
      </c>
      <c r="E640" s="248">
        <v>0.006180681136144374</v>
      </c>
      <c r="F640" s="247">
        <v>26.258081566820692</v>
      </c>
      <c r="G640" s="246">
        <v>5229.008553602533</v>
      </c>
      <c r="H640" s="247">
        <v>8804.175000000001</v>
      </c>
      <c r="I640" s="247">
        <v>0.0</v>
      </c>
      <c r="J640" s="128">
        <v>50827.791999999994</v>
      </c>
    </row>
    <row r="641">
      <c r="A641" s="245">
        <v>42726.0</v>
      </c>
      <c r="B641" s="241">
        <v>0.0121698862537634</v>
      </c>
      <c r="C641" s="241">
        <v>0.011380769230769241</v>
      </c>
      <c r="D641" s="241">
        <v>0.02355065548453264</v>
      </c>
      <c r="E641" s="248">
        <v>0.006180681136144374</v>
      </c>
      <c r="F641" s="247">
        <v>26.258081566820692</v>
      </c>
      <c r="G641" s="246">
        <v>5202.750472035712</v>
      </c>
      <c r="H641" s="247">
        <v>8804.175000000001</v>
      </c>
      <c r="I641" s="247">
        <v>0.0</v>
      </c>
      <c r="J641" s="128">
        <v>50724.219999999994</v>
      </c>
    </row>
    <row r="642">
      <c r="A642" s="245">
        <v>42725.0</v>
      </c>
      <c r="B642" s="241">
        <v>0.012070257770376009</v>
      </c>
      <c r="C642" s="241">
        <v>0.011361538461538472</v>
      </c>
      <c r="D642" s="241">
        <v>0.02343179623191448</v>
      </c>
      <c r="E642" s="248">
        <v>0.006180681136144374</v>
      </c>
      <c r="F642" s="247">
        <v>26.258081566820692</v>
      </c>
      <c r="G642" s="246">
        <v>5176.492390468891</v>
      </c>
      <c r="H642" s="247">
        <v>8804.175000000001</v>
      </c>
      <c r="I642" s="247">
        <v>0.0</v>
      </c>
      <c r="J642" s="128">
        <v>50883.314</v>
      </c>
    </row>
    <row r="643">
      <c r="A643" s="245">
        <v>42724.0</v>
      </c>
      <c r="B643" s="241">
        <v>0.011970629286988617</v>
      </c>
      <c r="C643" s="241">
        <v>0.011342307692307702</v>
      </c>
      <c r="D643" s="241">
        <v>0.023312936979296317</v>
      </c>
      <c r="E643" s="248">
        <v>0.006180681136144374</v>
      </c>
      <c r="F643" s="247">
        <v>26.258081566820692</v>
      </c>
      <c r="G643" s="246">
        <v>5150.234308902071</v>
      </c>
      <c r="H643" s="247">
        <v>8804.175000000001</v>
      </c>
      <c r="I643" s="247">
        <v>0.0</v>
      </c>
      <c r="J643" s="128">
        <v>50959.292</v>
      </c>
    </row>
    <row r="644">
      <c r="A644" s="245">
        <v>42723.0</v>
      </c>
      <c r="B644" s="241">
        <v>0.011871000803601225</v>
      </c>
      <c r="C644" s="241">
        <v>0.011323076923076932</v>
      </c>
      <c r="D644" s="241">
        <v>0.023194077726678156</v>
      </c>
      <c r="E644" s="248">
        <v>0.006180681136144374</v>
      </c>
      <c r="F644" s="247">
        <v>26.258081566820692</v>
      </c>
      <c r="G644" s="246">
        <v>5123.97622733525</v>
      </c>
      <c r="H644" s="247">
        <v>8804.175000000001</v>
      </c>
      <c r="I644" s="247">
        <v>0.0</v>
      </c>
      <c r="J644" s="128">
        <v>51019.702</v>
      </c>
    </row>
    <row r="645">
      <c r="A645" s="245">
        <v>42720.0</v>
      </c>
      <c r="B645" s="241">
        <v>0.011771372320213833</v>
      </c>
      <c r="C645" s="241">
        <v>0.011303846153846163</v>
      </c>
      <c r="D645" s="241">
        <v>0.023075218474059994</v>
      </c>
      <c r="E645" s="248">
        <v>0.006180681136144374</v>
      </c>
      <c r="F645" s="247">
        <v>26.258081566820692</v>
      </c>
      <c r="G645" s="246">
        <v>5097.718145768429</v>
      </c>
      <c r="H645" s="247">
        <v>8804.175000000001</v>
      </c>
      <c r="I645" s="247">
        <v>0.0</v>
      </c>
      <c r="J645" s="128">
        <v>50971.732</v>
      </c>
    </row>
    <row r="646">
      <c r="A646" s="245">
        <v>42719.0</v>
      </c>
      <c r="B646" s="241">
        <v>0.011671743836826442</v>
      </c>
      <c r="C646" s="241">
        <v>0.011284615384615393</v>
      </c>
      <c r="D646" s="241">
        <v>0.022956359221441833</v>
      </c>
      <c r="E646" s="248">
        <v>0.006180681136144374</v>
      </c>
      <c r="F646" s="247">
        <v>26.258081566820692</v>
      </c>
      <c r="G646" s="246">
        <v>5071.4600642016085</v>
      </c>
      <c r="H646" s="247">
        <v>8804.175000000001</v>
      </c>
      <c r="I646" s="247">
        <v>0.0</v>
      </c>
      <c r="J646" s="128">
        <v>50808.638</v>
      </c>
    </row>
    <row r="647">
      <c r="A647" s="245">
        <v>42718.0</v>
      </c>
      <c r="B647" s="241">
        <v>0.01157211535343905</v>
      </c>
      <c r="C647" s="241">
        <v>0.011265384615384623</v>
      </c>
      <c r="D647" s="241">
        <v>0.02283749996882367</v>
      </c>
      <c r="E647" s="248">
        <v>0.006180681136144374</v>
      </c>
      <c r="F647" s="247">
        <v>26.258081566820692</v>
      </c>
      <c r="G647" s="246">
        <v>5045.201982634788</v>
      </c>
      <c r="H647" s="247">
        <v>8804.175000000001</v>
      </c>
      <c r="I647" s="247">
        <v>0.0</v>
      </c>
      <c r="J647" s="128">
        <v>50821.731999999996</v>
      </c>
    </row>
    <row r="648">
      <c r="A648" s="245">
        <v>42717.0</v>
      </c>
      <c r="B648" s="241">
        <v>0.011472486870051658</v>
      </c>
      <c r="C648" s="241">
        <v>0.011246153846153854</v>
      </c>
      <c r="D648" s="241">
        <v>0.02271864071620551</v>
      </c>
      <c r="E648" s="248">
        <v>0.006180681136144374</v>
      </c>
      <c r="F648" s="247">
        <v>26.258081566820692</v>
      </c>
      <c r="G648" s="246">
        <v>5018.943901067967</v>
      </c>
      <c r="H648" s="247">
        <v>8804.175000000001</v>
      </c>
      <c r="I648" s="247">
        <v>0.0</v>
      </c>
      <c r="J648" s="128">
        <v>50664.746</v>
      </c>
    </row>
    <row r="649">
      <c r="A649" s="245">
        <v>42716.0</v>
      </c>
      <c r="B649" s="241">
        <v>0.011372858386664266</v>
      </c>
      <c r="C649" s="241">
        <v>0.011226923076923084</v>
      </c>
      <c r="D649" s="241">
        <v>0.02259978146358735</v>
      </c>
      <c r="E649" s="248">
        <v>0.006180681136144374</v>
      </c>
      <c r="F649" s="247">
        <v>26.258081566820692</v>
      </c>
      <c r="G649" s="246">
        <v>4992.685819501146</v>
      </c>
      <c r="H649" s="247">
        <v>8804.175000000001</v>
      </c>
      <c r="I649" s="247">
        <v>0.0</v>
      </c>
      <c r="J649" s="128">
        <v>50917.223999999995</v>
      </c>
    </row>
    <row r="650">
      <c r="A650" s="245">
        <v>42713.0</v>
      </c>
      <c r="B650" s="241">
        <v>0.011273229903276874</v>
      </c>
      <c r="C650" s="241">
        <v>0.011207692307692314</v>
      </c>
      <c r="D650" s="241">
        <v>0.022480922210969187</v>
      </c>
      <c r="E650" s="248">
        <v>0.006180681136144374</v>
      </c>
      <c r="F650" s="247">
        <v>26.258081566820692</v>
      </c>
      <c r="G650" s="246">
        <v>4966.427737934326</v>
      </c>
      <c r="H650" s="247">
        <v>8804.175000000001</v>
      </c>
      <c r="I650" s="247">
        <v>0.0</v>
      </c>
      <c r="J650" s="128">
        <v>51273.932</v>
      </c>
    </row>
    <row r="651">
      <c r="A651" s="245">
        <v>42712.0</v>
      </c>
      <c r="B651" s="241">
        <v>0.011173601419889483</v>
      </c>
      <c r="C651" s="241">
        <v>0.011188461538461545</v>
      </c>
      <c r="D651" s="241">
        <v>0.022362062958351026</v>
      </c>
      <c r="E651" s="248">
        <v>0.006180681136144374</v>
      </c>
      <c r="F651" s="247">
        <v>26.258081566820692</v>
      </c>
      <c r="G651" s="246">
        <v>4940.169656367505</v>
      </c>
      <c r="H651" s="247">
        <v>8804.175000000001</v>
      </c>
      <c r="I651" s="247">
        <v>0.0</v>
      </c>
      <c r="J651" s="128">
        <v>51135.312000000005</v>
      </c>
    </row>
    <row r="652">
      <c r="A652" s="245">
        <v>42711.0</v>
      </c>
      <c r="B652" s="241">
        <v>0.01107397293650209</v>
      </c>
      <c r="C652" s="241">
        <v>0.011169230769230775</v>
      </c>
      <c r="D652" s="241">
        <v>0.022243203705732864</v>
      </c>
      <c r="E652" s="248">
        <v>0.006180681136144374</v>
      </c>
      <c r="F652" s="247">
        <v>26.258081566820692</v>
      </c>
      <c r="G652" s="246">
        <v>4913.911574800684</v>
      </c>
      <c r="H652" s="247">
        <v>8804.175000000001</v>
      </c>
      <c r="I652" s="247">
        <v>0.0</v>
      </c>
      <c r="J652" s="128">
        <v>50652.312</v>
      </c>
    </row>
    <row r="653">
      <c r="A653" s="245">
        <v>42710.0</v>
      </c>
      <c r="B653" s="241">
        <v>0.010974344453114699</v>
      </c>
      <c r="C653" s="241">
        <v>0.011150000000000005</v>
      </c>
      <c r="D653" s="241">
        <v>0.022124344453114703</v>
      </c>
      <c r="E653" s="248">
        <v>0.006180681136144374</v>
      </c>
      <c r="F653" s="247">
        <v>26.258081566820692</v>
      </c>
      <c r="G653" s="246">
        <v>4887.653493233864</v>
      </c>
      <c r="H653" s="247">
        <v>8804.175000000001</v>
      </c>
      <c r="I653" s="247">
        <v>0.0</v>
      </c>
      <c r="J653" s="128">
        <v>50529.444</v>
      </c>
    </row>
    <row r="654">
      <c r="A654" s="245">
        <v>42709.0</v>
      </c>
      <c r="B654" s="241">
        <v>0.010874715969727307</v>
      </c>
      <c r="C654" s="241">
        <v>0.011130769230769236</v>
      </c>
      <c r="D654" s="241">
        <v>0.02200548520049654</v>
      </c>
      <c r="E654" s="248">
        <v>0.006180681136144374</v>
      </c>
      <c r="F654" s="247">
        <v>26.258081566820692</v>
      </c>
      <c r="G654" s="246">
        <v>4861.395411667043</v>
      </c>
      <c r="H654" s="247">
        <v>8804.175000000001</v>
      </c>
      <c r="I654" s="247">
        <v>0.0</v>
      </c>
      <c r="J654" s="128">
        <v>50440.228</v>
      </c>
    </row>
    <row r="655">
      <c r="A655" s="245">
        <v>42706.0</v>
      </c>
      <c r="B655" s="241">
        <v>0.010775087486339915</v>
      </c>
      <c r="C655" s="241">
        <v>0.011111538461538466</v>
      </c>
      <c r="D655" s="241">
        <v>0.02188662594787838</v>
      </c>
      <c r="E655" s="248">
        <v>0.006180681136144374</v>
      </c>
      <c r="F655" s="247">
        <v>26.258081566820692</v>
      </c>
      <c r="G655" s="246">
        <v>4835.137330100222</v>
      </c>
      <c r="H655" s="247">
        <v>8804.175000000001</v>
      </c>
      <c r="I655" s="247">
        <v>0.0</v>
      </c>
      <c r="J655" s="128">
        <v>50884.136</v>
      </c>
    </row>
    <row r="656">
      <c r="A656" s="245">
        <v>42705.0</v>
      </c>
      <c r="B656" s="241">
        <v>0.010675459002952524</v>
      </c>
      <c r="C656" s="241">
        <v>0.011092307692307696</v>
      </c>
      <c r="D656" s="241">
        <v>0.02176776669526022</v>
      </c>
      <c r="E656" s="248">
        <v>0.006180681136144374</v>
      </c>
      <c r="F656" s="247">
        <v>26.258081566820692</v>
      </c>
      <c r="G656" s="246">
        <v>4808.879248533402</v>
      </c>
      <c r="H656" s="247">
        <v>8804.175000000001</v>
      </c>
      <c r="I656" s="247">
        <v>0.0</v>
      </c>
      <c r="J656" s="128">
        <v>50895.364</v>
      </c>
    </row>
    <row r="657">
      <c r="A657" s="245">
        <v>42704.0</v>
      </c>
      <c r="B657" s="241">
        <v>0.010575830519565132</v>
      </c>
      <c r="C657" s="241">
        <v>0.011073076923076927</v>
      </c>
      <c r="D657" s="241">
        <v>0.021648907442642057</v>
      </c>
      <c r="E657" s="248">
        <v>0.006180681136144374</v>
      </c>
      <c r="F657" s="247">
        <v>26.258081566820692</v>
      </c>
      <c r="G657" s="246">
        <v>4782.621166966581</v>
      </c>
      <c r="H657" s="247">
        <v>8804.175000000001</v>
      </c>
      <c r="I657" s="247">
        <v>0.0</v>
      </c>
      <c r="J657" s="128">
        <v>51281.382</v>
      </c>
    </row>
    <row r="658">
      <c r="A658" s="245">
        <v>42703.0</v>
      </c>
      <c r="B658" s="241">
        <v>0.01047620203617774</v>
      </c>
      <c r="C658" s="241">
        <v>0.011053846153846157</v>
      </c>
      <c r="D658" s="241">
        <v>0.021530048190023895</v>
      </c>
      <c r="E658" s="248">
        <v>0.006180681136144374</v>
      </c>
      <c r="F658" s="247">
        <v>26.258081566820692</v>
      </c>
      <c r="G658" s="246">
        <v>4756.36308539976</v>
      </c>
      <c r="H658" s="247">
        <v>8804.175000000001</v>
      </c>
      <c r="I658" s="247">
        <v>0.0</v>
      </c>
      <c r="J658" s="128">
        <v>51522.272000000004</v>
      </c>
    </row>
    <row r="659">
      <c r="A659" s="245">
        <v>42702.0</v>
      </c>
      <c r="B659" s="241">
        <v>0.010376573552790348</v>
      </c>
      <c r="C659" s="241">
        <v>0.011034615384615388</v>
      </c>
      <c r="D659" s="241">
        <v>0.021411188937405734</v>
      </c>
      <c r="E659" s="248">
        <v>0.006180681136144374</v>
      </c>
      <c r="F659" s="247">
        <v>26.258081566820692</v>
      </c>
      <c r="G659" s="246">
        <v>4730.1050038329395</v>
      </c>
      <c r="H659" s="247">
        <v>8804.175000000001</v>
      </c>
      <c r="I659" s="247">
        <v>0.0</v>
      </c>
      <c r="J659" s="128">
        <v>51775.358</v>
      </c>
    </row>
    <row r="660">
      <c r="A660" s="245">
        <v>42699.0</v>
      </c>
      <c r="B660" s="241">
        <v>0.010276945069402956</v>
      </c>
      <c r="C660" s="241">
        <v>0.011015384615384618</v>
      </c>
      <c r="D660" s="241">
        <v>0.021292329684787573</v>
      </c>
      <c r="E660" s="248">
        <v>0.006180681136144374</v>
      </c>
      <c r="F660" s="247">
        <v>26.258081566820692</v>
      </c>
      <c r="G660" s="246">
        <v>4703.846922266119</v>
      </c>
      <c r="H660" s="247">
        <v>8804.175000000001</v>
      </c>
      <c r="I660" s="247">
        <v>0.0</v>
      </c>
      <c r="J660" s="128">
        <v>51360.408</v>
      </c>
    </row>
    <row r="661">
      <c r="A661" s="245">
        <v>42698.0</v>
      </c>
      <c r="B661" s="241">
        <v>0.010177316586015565</v>
      </c>
      <c r="C661" s="241">
        <v>0.010996153846153848</v>
      </c>
      <c r="D661" s="241">
        <v>0.02117347043216941</v>
      </c>
      <c r="E661" s="248">
        <v>0.006180681136144374</v>
      </c>
      <c r="F661" s="247">
        <v>26.258081566820692</v>
      </c>
      <c r="G661" s="246">
        <v>4677.588840699298</v>
      </c>
      <c r="H661" s="247">
        <v>8804.175000000001</v>
      </c>
      <c r="I661" s="247">
        <v>0.0</v>
      </c>
      <c r="J661" s="128">
        <v>51672.44</v>
      </c>
    </row>
    <row r="662">
      <c r="A662" s="245">
        <v>42697.0</v>
      </c>
      <c r="B662" s="241">
        <v>0.010077688102628173</v>
      </c>
      <c r="C662" s="241">
        <v>0.010976923076923079</v>
      </c>
      <c r="D662" s="241">
        <v>0.02105461117955125</v>
      </c>
      <c r="E662" s="248">
        <v>0.006180681136144374</v>
      </c>
      <c r="F662" s="247">
        <v>26.258081566820692</v>
      </c>
      <c r="G662" s="246">
        <v>4651.330759132477</v>
      </c>
      <c r="H662" s="247">
        <v>8804.175000000001</v>
      </c>
      <c r="I662" s="247">
        <v>0.0</v>
      </c>
      <c r="J662" s="128">
        <v>51660.738</v>
      </c>
    </row>
    <row r="663">
      <c r="A663" s="245">
        <v>42696.0</v>
      </c>
      <c r="B663" s="241">
        <v>0.009978059619240781</v>
      </c>
      <c r="C663" s="241">
        <v>0.010957692307692309</v>
      </c>
      <c r="D663" s="241">
        <v>0.02093575192693309</v>
      </c>
      <c r="E663" s="248">
        <v>0.006180681136144374</v>
      </c>
      <c r="F663" s="247">
        <v>26.258081566820692</v>
      </c>
      <c r="G663" s="246">
        <v>4625.072677565657</v>
      </c>
      <c r="H663" s="247">
        <v>8804.175000000001</v>
      </c>
      <c r="I663" s="247">
        <v>0.0</v>
      </c>
      <c r="J663" s="128">
        <v>52101.18199999999</v>
      </c>
    </row>
    <row r="664">
      <c r="A664" s="245">
        <v>42695.0</v>
      </c>
      <c r="B664" s="241">
        <v>0.00987843113585339</v>
      </c>
      <c r="C664" s="241">
        <v>0.01093846153846154</v>
      </c>
      <c r="D664" s="241">
        <v>0.020816892674314927</v>
      </c>
      <c r="E664" s="248">
        <v>0.006180681136144374</v>
      </c>
      <c r="F664" s="247">
        <v>26.258081566820692</v>
      </c>
      <c r="G664" s="246">
        <v>4598.814595998836</v>
      </c>
      <c r="H664" s="247">
        <v>8804.175000000001</v>
      </c>
      <c r="I664" s="247">
        <v>0.0</v>
      </c>
      <c r="J664" s="128">
        <v>52148.43199999999</v>
      </c>
    </row>
    <row r="665">
      <c r="A665" s="245">
        <v>42692.0</v>
      </c>
      <c r="B665" s="241">
        <v>0.009778802652465998</v>
      </c>
      <c r="C665" s="241">
        <v>0.01091923076923077</v>
      </c>
      <c r="D665" s="241">
        <v>0.020698033421696765</v>
      </c>
      <c r="E665" s="248">
        <v>0.006180681136144374</v>
      </c>
      <c r="F665" s="247">
        <v>26.258081566820692</v>
      </c>
      <c r="G665" s="246">
        <v>4572.556514432015</v>
      </c>
      <c r="H665" s="247">
        <v>8804.175000000001</v>
      </c>
      <c r="I665" s="247">
        <v>0.0</v>
      </c>
      <c r="J665" s="128">
        <v>52077.746</v>
      </c>
    </row>
    <row r="666">
      <c r="A666" s="245">
        <v>42691.0</v>
      </c>
      <c r="B666" s="28">
        <v>0.009679174169078606</v>
      </c>
      <c r="C666" s="28">
        <v>0.0109</v>
      </c>
      <c r="D666" s="173">
        <v>0.020579174169078604</v>
      </c>
      <c r="E666" s="173">
        <v>6.585550552746372E-5</v>
      </c>
      <c r="F666" s="247">
        <v>7.274314778504049</v>
      </c>
      <c r="G666" s="246">
        <v>4546.298432865195</v>
      </c>
      <c r="H666" s="247">
        <v>8804.175000000001</v>
      </c>
      <c r="I666" s="247">
        <v>0.0</v>
      </c>
      <c r="J666" s="128">
        <v>52291.920000000006</v>
      </c>
    </row>
    <row r="667">
      <c r="A667" s="245">
        <v>42690.0</v>
      </c>
      <c r="B667" s="241">
        <v>0.009646246416314872</v>
      </c>
      <c r="C667" s="241">
        <v>0.0109</v>
      </c>
      <c r="D667" s="241">
        <v>0.020546246416314872</v>
      </c>
      <c r="E667" s="241">
        <v>6.585550552746372E-5</v>
      </c>
      <c r="F667" s="247">
        <v>7.27431477850314</v>
      </c>
      <c r="G667" s="246">
        <v>4539.024118086691</v>
      </c>
      <c r="H667" s="247">
        <v>8804.175000000001</v>
      </c>
      <c r="I667" s="247">
        <v>0.0</v>
      </c>
      <c r="J667" s="128">
        <v>52237.612</v>
      </c>
    </row>
    <row r="668">
      <c r="A668" s="245">
        <v>42689.0</v>
      </c>
      <c r="B668" s="28">
        <v>0.009613318663551139</v>
      </c>
      <c r="C668" s="28">
        <v>0.0109</v>
      </c>
      <c r="D668" s="173">
        <v>0.02051331866355114</v>
      </c>
      <c r="E668" s="173">
        <v>0.0020854479507337424</v>
      </c>
      <c r="F668" s="247">
        <v>8.376578514285939</v>
      </c>
      <c r="G668" s="246">
        <v>4531.749803308187</v>
      </c>
      <c r="H668" s="247">
        <v>8804.175000000001</v>
      </c>
      <c r="I668" s="247">
        <v>0.0</v>
      </c>
      <c r="J668" s="128">
        <v>51871.922</v>
      </c>
    </row>
    <row r="669">
      <c r="A669" s="245">
        <v>42688.0</v>
      </c>
      <c r="B669" s="241">
        <v>0.009580855973537776</v>
      </c>
      <c r="C669" s="241">
        <v>0.010894545454545409</v>
      </c>
      <c r="D669" s="241">
        <v>0.020475401428083278</v>
      </c>
      <c r="E669" s="248">
        <v>0.0020854479507337424</v>
      </c>
      <c r="F669" s="247">
        <v>8.376578514275025</v>
      </c>
      <c r="G669" s="246">
        <v>4523.3732247939015</v>
      </c>
      <c r="H669" s="247">
        <v>8804.175000000001</v>
      </c>
      <c r="I669" s="247">
        <v>0.0</v>
      </c>
      <c r="J669" s="128">
        <v>51748.448000000004</v>
      </c>
    </row>
    <row r="670">
      <c r="A670" s="245">
        <v>42685.0</v>
      </c>
      <c r="B670" s="241">
        <v>0.009548393283524435</v>
      </c>
      <c r="C670" s="241">
        <v>0.010889090909090864</v>
      </c>
      <c r="D670" s="241">
        <v>0.02043748419261539</v>
      </c>
      <c r="E670" s="248">
        <v>0.0020854479507337424</v>
      </c>
      <c r="F670" s="247">
        <v>8.376578514275025</v>
      </c>
      <c r="G670" s="246">
        <v>4514.9966462796265</v>
      </c>
      <c r="H670" s="247">
        <v>8804.175000000001</v>
      </c>
      <c r="I670" s="247">
        <v>0.0</v>
      </c>
      <c r="J670" s="128">
        <v>51548.838</v>
      </c>
    </row>
    <row r="671">
      <c r="A671" s="245">
        <v>42684.0</v>
      </c>
      <c r="B671" s="241">
        <v>0.009515930593511095</v>
      </c>
      <c r="C671" s="241">
        <v>0.01088363636363632</v>
      </c>
      <c r="D671" s="241">
        <v>0.020399566957147505</v>
      </c>
      <c r="E671" s="248">
        <v>0.0020854479507337424</v>
      </c>
      <c r="F671" s="247">
        <v>8.376578514275025</v>
      </c>
      <c r="G671" s="246">
        <v>4506.620067765351</v>
      </c>
      <c r="H671" s="247">
        <v>8804.175000000001</v>
      </c>
      <c r="I671" s="247">
        <v>0.0</v>
      </c>
      <c r="J671" s="128">
        <v>52026.422</v>
      </c>
    </row>
    <row r="672">
      <c r="A672" s="245">
        <v>42683.0</v>
      </c>
      <c r="B672" s="241">
        <v>0.009483467903497755</v>
      </c>
      <c r="C672" s="241">
        <v>0.010878181818181775</v>
      </c>
      <c r="D672" s="241">
        <v>0.020361649721679618</v>
      </c>
      <c r="E672" s="248">
        <v>0.0020854479507337424</v>
      </c>
      <c r="F672" s="247">
        <v>8.376578514275025</v>
      </c>
      <c r="G672" s="246">
        <v>4498.243489251076</v>
      </c>
      <c r="H672" s="247">
        <v>8804.175000000001</v>
      </c>
      <c r="I672" s="247">
        <v>0.0</v>
      </c>
      <c r="J672" s="128">
        <v>52864.12</v>
      </c>
    </row>
    <row r="673">
      <c r="A673" s="245">
        <v>42682.0</v>
      </c>
      <c r="B673" s="241">
        <v>0.009451005213484414</v>
      </c>
      <c r="C673" s="241">
        <v>0.01087272727272723</v>
      </c>
      <c r="D673" s="241">
        <v>0.02032373248621173</v>
      </c>
      <c r="E673" s="248">
        <v>0.0020854479507337424</v>
      </c>
      <c r="F673" s="247">
        <v>8.376578514275025</v>
      </c>
      <c r="G673" s="246">
        <v>4489.866910736801</v>
      </c>
      <c r="H673" s="247">
        <v>8804.175000000001</v>
      </c>
      <c r="I673" s="247">
        <v>0.0</v>
      </c>
      <c r="J673" s="128">
        <v>52236.100000000006</v>
      </c>
    </row>
    <row r="674">
      <c r="A674" s="245">
        <v>42681.0</v>
      </c>
      <c r="B674" s="241">
        <v>0.009418542523471074</v>
      </c>
      <c r="C674" s="241">
        <v>0.010867272727272686</v>
      </c>
      <c r="D674" s="241">
        <v>0.020285815250743845</v>
      </c>
      <c r="E674" s="248">
        <v>0.0020854479507337424</v>
      </c>
      <c r="F674" s="247">
        <v>8.376578514275025</v>
      </c>
      <c r="G674" s="246">
        <v>4481.490332222526</v>
      </c>
      <c r="H674" s="247">
        <v>8804.175000000001</v>
      </c>
      <c r="I674" s="247">
        <v>0.0</v>
      </c>
      <c r="J674" s="128">
        <v>52389.14000000001</v>
      </c>
    </row>
    <row r="675">
      <c r="A675" s="245">
        <v>42678.0</v>
      </c>
      <c r="B675" s="241">
        <v>0.009386079833457734</v>
      </c>
      <c r="C675" s="241">
        <v>0.010861818181818141</v>
      </c>
      <c r="D675" s="241">
        <v>0.020247898015275958</v>
      </c>
      <c r="E675" s="248">
        <v>0.0020854479507337424</v>
      </c>
      <c r="F675" s="247">
        <v>8.376578514275025</v>
      </c>
      <c r="G675" s="246">
        <v>4473.113753708251</v>
      </c>
      <c r="H675" s="247">
        <v>8804.175000000001</v>
      </c>
      <c r="I675" s="247">
        <v>0.0</v>
      </c>
      <c r="J675" s="128">
        <v>52531.166000000005</v>
      </c>
    </row>
    <row r="676">
      <c r="A676" s="245">
        <v>42677.0</v>
      </c>
      <c r="B676" s="241">
        <v>0.009353617143444393</v>
      </c>
      <c r="C676" s="241">
        <v>0.010856363636363596</v>
      </c>
      <c r="D676" s="241">
        <v>0.02020998077980807</v>
      </c>
      <c r="E676" s="248">
        <v>0.0020854479507337424</v>
      </c>
      <c r="F676" s="247">
        <v>8.376578514275025</v>
      </c>
      <c r="G676" s="246">
        <v>4464.737175193976</v>
      </c>
      <c r="H676" s="247">
        <v>8804.175000000001</v>
      </c>
      <c r="I676" s="247">
        <v>0.0</v>
      </c>
      <c r="J676" s="128">
        <v>52434.816</v>
      </c>
    </row>
    <row r="677">
      <c r="A677" s="245">
        <v>42676.0</v>
      </c>
      <c r="B677" s="241">
        <v>0.009321154453431053</v>
      </c>
      <c r="C677" s="241">
        <v>0.010850909090909052</v>
      </c>
      <c r="D677" s="241">
        <v>0.020172063544340185</v>
      </c>
      <c r="E677" s="248">
        <v>0.0020854479507337424</v>
      </c>
      <c r="F677" s="247">
        <v>8.376578514275025</v>
      </c>
      <c r="G677" s="246">
        <v>4456.360596679701</v>
      </c>
      <c r="H677" s="247">
        <v>8804.175000000001</v>
      </c>
      <c r="I677" s="247">
        <v>0.0</v>
      </c>
      <c r="J677" s="128">
        <v>52586.630000000005</v>
      </c>
    </row>
    <row r="678">
      <c r="A678" s="245">
        <v>42675.0</v>
      </c>
      <c r="B678" s="241">
        <v>0.009288691763417713</v>
      </c>
      <c r="C678" s="241">
        <v>0.010845454545454507</v>
      </c>
      <c r="D678" s="241">
        <v>0.020134146308872298</v>
      </c>
      <c r="E678" s="248">
        <v>0.0020854479507337424</v>
      </c>
      <c r="F678" s="247">
        <v>8.376578514275025</v>
      </c>
      <c r="G678" s="246">
        <v>4447.984018165426</v>
      </c>
      <c r="H678" s="247">
        <v>8804.175000000001</v>
      </c>
      <c r="I678" s="247">
        <v>0.0</v>
      </c>
      <c r="J678" s="128">
        <v>52467.504</v>
      </c>
    </row>
    <row r="679">
      <c r="A679" s="245">
        <v>42674.0</v>
      </c>
      <c r="B679" s="241">
        <v>0.009256229073404372</v>
      </c>
      <c r="C679" s="241">
        <v>0.010839999999999963</v>
      </c>
      <c r="D679" s="241">
        <v>0.02009622907340441</v>
      </c>
      <c r="E679" s="248">
        <v>0.0020854479507337424</v>
      </c>
      <c r="F679" s="247">
        <v>8.376578514275025</v>
      </c>
      <c r="G679" s="246">
        <v>4439.607439651151</v>
      </c>
      <c r="H679" s="247">
        <v>8804.175000000001</v>
      </c>
      <c r="I679" s="247">
        <v>0.0</v>
      </c>
      <c r="J679" s="128">
        <v>52467.402</v>
      </c>
    </row>
    <row r="680">
      <c r="A680" s="245">
        <v>42671.0</v>
      </c>
      <c r="B680" s="241">
        <v>0.009223766383391032</v>
      </c>
      <c r="C680" s="241">
        <v>0.010834545454545418</v>
      </c>
      <c r="D680" s="241">
        <v>0.020058311837936525</v>
      </c>
      <c r="E680" s="248">
        <v>0.0020854479507337424</v>
      </c>
      <c r="F680" s="247">
        <v>8.376578514275025</v>
      </c>
      <c r="G680" s="246">
        <v>4431.230861136876</v>
      </c>
      <c r="H680" s="247">
        <v>8804.175000000001</v>
      </c>
      <c r="I680" s="247">
        <v>0.0</v>
      </c>
      <c r="J680" s="128">
        <v>52560.39599999999</v>
      </c>
    </row>
    <row r="681">
      <c r="A681" s="245">
        <v>42670.0</v>
      </c>
      <c r="B681" s="241">
        <v>0.009191303693377692</v>
      </c>
      <c r="C681" s="241">
        <v>0.010829090909090873</v>
      </c>
      <c r="D681" s="241">
        <v>0.020020394602468638</v>
      </c>
      <c r="E681" s="248">
        <v>0.0020854479507337424</v>
      </c>
      <c r="F681" s="247">
        <v>8.376578514275025</v>
      </c>
      <c r="G681" s="246">
        <v>4422.854282622601</v>
      </c>
      <c r="H681" s="247">
        <v>8804.175000000001</v>
      </c>
      <c r="I681" s="247">
        <v>0.0</v>
      </c>
      <c r="J681" s="128">
        <v>52664.10799999999</v>
      </c>
    </row>
    <row r="682">
      <c r="A682" s="245">
        <v>42669.0</v>
      </c>
      <c r="B682" s="241">
        <v>0.009158841003364351</v>
      </c>
      <c r="C682" s="241">
        <v>0.010823636363636329</v>
      </c>
      <c r="D682" s="241">
        <v>0.01998247736700075</v>
      </c>
      <c r="E682" s="248">
        <v>0.0020854479507337424</v>
      </c>
      <c r="F682" s="247">
        <v>8.376578514275025</v>
      </c>
      <c r="G682" s="246">
        <v>4414.477704108326</v>
      </c>
      <c r="H682" s="247">
        <v>8804.175000000001</v>
      </c>
      <c r="I682" s="247">
        <v>0.0</v>
      </c>
      <c r="J682" s="128">
        <v>52748.312</v>
      </c>
    </row>
    <row r="683">
      <c r="A683" s="245">
        <v>42668.0</v>
      </c>
      <c r="B683" s="241">
        <v>0.009126378313351011</v>
      </c>
      <c r="C683" s="241">
        <v>0.010818181818181784</v>
      </c>
      <c r="D683" s="241">
        <v>0.019944560131532865</v>
      </c>
      <c r="E683" s="248">
        <v>0.0020854479507337424</v>
      </c>
      <c r="F683" s="247">
        <v>8.376578514275025</v>
      </c>
      <c r="G683" s="246">
        <v>4406.101125594051</v>
      </c>
      <c r="H683" s="247">
        <v>8804.175000000001</v>
      </c>
      <c r="I683" s="247">
        <v>0.0</v>
      </c>
      <c r="J683" s="128">
        <v>53117.28599999999</v>
      </c>
    </row>
    <row r="684">
      <c r="A684" s="245">
        <v>42667.0</v>
      </c>
      <c r="B684" s="241">
        <v>0.00909391562333767</v>
      </c>
      <c r="C684" s="241">
        <v>0.01081272727272724</v>
      </c>
      <c r="D684" s="241">
        <v>0.019906642896064978</v>
      </c>
      <c r="E684" s="248">
        <v>0.0020854479507337424</v>
      </c>
      <c r="F684" s="247">
        <v>8.376578514275025</v>
      </c>
      <c r="G684" s="246">
        <v>4397.724547079776</v>
      </c>
      <c r="H684" s="247">
        <v>8804.175000000001</v>
      </c>
      <c r="I684" s="247">
        <v>0.0</v>
      </c>
      <c r="J684" s="128">
        <v>52861.225999999995</v>
      </c>
    </row>
    <row r="685">
      <c r="A685" s="245">
        <v>42664.0</v>
      </c>
      <c r="B685" s="241">
        <v>0.00906145293332433</v>
      </c>
      <c r="C685" s="241">
        <v>0.010807272727272695</v>
      </c>
      <c r="D685" s="241">
        <v>0.01986872566059709</v>
      </c>
      <c r="E685" s="248">
        <v>0.0020854479507337424</v>
      </c>
      <c r="F685" s="247">
        <v>8.376578514275025</v>
      </c>
      <c r="G685" s="246">
        <v>4389.347968565501</v>
      </c>
      <c r="H685" s="247">
        <v>8804.175000000001</v>
      </c>
      <c r="I685" s="247">
        <v>0.0</v>
      </c>
      <c r="J685" s="128">
        <v>52933.99799999999</v>
      </c>
    </row>
    <row r="686">
      <c r="A686" s="245">
        <v>42663.0</v>
      </c>
      <c r="B686" s="241">
        <v>0.00902899024331099</v>
      </c>
      <c r="C686" s="241">
        <v>0.01080181818181815</v>
      </c>
      <c r="D686" s="241">
        <v>0.019830808425129205</v>
      </c>
      <c r="E686" s="248">
        <v>0.0020854479507337424</v>
      </c>
      <c r="F686" s="247">
        <v>8.376578514275025</v>
      </c>
      <c r="G686" s="246">
        <v>4380.971390051226</v>
      </c>
      <c r="H686" s="247">
        <v>8804.175000000001</v>
      </c>
      <c r="I686" s="247">
        <v>0.0</v>
      </c>
      <c r="J686" s="128">
        <v>52725.694</v>
      </c>
    </row>
    <row r="687">
      <c r="A687" s="245">
        <v>42662.0</v>
      </c>
      <c r="B687" s="241">
        <v>0.00899652755329765</v>
      </c>
      <c r="C687" s="241">
        <v>0.010796363636363606</v>
      </c>
      <c r="D687" s="241">
        <v>0.019792891189661318</v>
      </c>
      <c r="E687" s="248">
        <v>0.0020854479507337424</v>
      </c>
      <c r="F687" s="247">
        <v>8.376578514275025</v>
      </c>
      <c r="G687" s="246">
        <v>4372.594811536951</v>
      </c>
      <c r="H687" s="247">
        <v>8804.175000000001</v>
      </c>
      <c r="I687" s="247">
        <v>0.0</v>
      </c>
      <c r="J687" s="128">
        <v>52632.916</v>
      </c>
    </row>
    <row r="688">
      <c r="A688" s="245">
        <v>42661.0</v>
      </c>
      <c r="B688" s="241">
        <v>0.00896406486328431</v>
      </c>
      <c r="C688" s="241">
        <v>0.010790909090909061</v>
      </c>
      <c r="D688" s="241">
        <v>0.01975497395419343</v>
      </c>
      <c r="E688" s="248">
        <v>0.0020854479507337424</v>
      </c>
      <c r="F688" s="247">
        <v>8.376578514275025</v>
      </c>
      <c r="G688" s="246">
        <v>4364.218233022676</v>
      </c>
      <c r="H688" s="247">
        <v>8804.175000000001</v>
      </c>
      <c r="I688" s="247">
        <v>0.0</v>
      </c>
      <c r="J688" s="128">
        <v>52218.782</v>
      </c>
    </row>
    <row r="689">
      <c r="A689" s="245">
        <v>42660.0</v>
      </c>
      <c r="B689" s="241">
        <v>0.008931602173270969</v>
      </c>
      <c r="C689" s="241">
        <v>0.010785454545454516</v>
      </c>
      <c r="D689" s="241">
        <v>0.019717056718725545</v>
      </c>
      <c r="E689" s="248">
        <v>0.0020854479507337424</v>
      </c>
      <c r="F689" s="247">
        <v>8.376578514275025</v>
      </c>
      <c r="G689" s="246">
        <v>4355.841654508401</v>
      </c>
      <c r="H689" s="247">
        <v>8804.175000000001</v>
      </c>
      <c r="I689" s="247">
        <v>0.0</v>
      </c>
      <c r="J689" s="128">
        <v>51997.612</v>
      </c>
    </row>
    <row r="690">
      <c r="A690" s="245">
        <v>42657.0</v>
      </c>
      <c r="B690" s="241">
        <v>0.008899139483257629</v>
      </c>
      <c r="C690" s="241">
        <v>0.010779999999999972</v>
      </c>
      <c r="D690" s="241">
        <v>0.019679139483257658</v>
      </c>
      <c r="E690" s="248">
        <v>0.0020854479507337424</v>
      </c>
      <c r="F690" s="247">
        <v>8.376578514275025</v>
      </c>
      <c r="G690" s="246">
        <v>4347.465075994126</v>
      </c>
      <c r="H690" s="247">
        <v>8804.175000000001</v>
      </c>
      <c r="I690" s="247">
        <v>0.0</v>
      </c>
      <c r="J690" s="128">
        <v>51905.174000000006</v>
      </c>
    </row>
    <row r="691">
      <c r="A691" s="245">
        <v>42656.0</v>
      </c>
      <c r="B691" s="241">
        <v>0.008866676793244288</v>
      </c>
      <c r="C691" s="241">
        <v>0.010774545454545427</v>
      </c>
      <c r="D691" s="241">
        <v>0.01964122224778977</v>
      </c>
      <c r="E691" s="248">
        <v>0.0020854479507337424</v>
      </c>
      <c r="F691" s="247">
        <v>8.376578514275025</v>
      </c>
      <c r="G691" s="246">
        <v>4339.088497479851</v>
      </c>
      <c r="H691" s="247">
        <v>8804.175000000001</v>
      </c>
      <c r="I691" s="247">
        <v>0.0</v>
      </c>
      <c r="J691" s="128">
        <v>51827.412</v>
      </c>
    </row>
    <row r="692">
      <c r="A692" s="245">
        <v>42655.0</v>
      </c>
      <c r="B692" s="241">
        <v>0.008834214103230948</v>
      </c>
      <c r="C692" s="241">
        <v>0.010769090909090883</v>
      </c>
      <c r="D692" s="241">
        <v>0.019603305012321885</v>
      </c>
      <c r="E692" s="248">
        <v>0.0020854479507337424</v>
      </c>
      <c r="F692" s="247">
        <v>8.376578514275025</v>
      </c>
      <c r="G692" s="246">
        <v>4330.711918965576</v>
      </c>
      <c r="H692" s="247">
        <v>8804.175000000001</v>
      </c>
      <c r="I692" s="247">
        <v>0.0</v>
      </c>
      <c r="J692" s="128">
        <v>51844.468</v>
      </c>
    </row>
    <row r="693">
      <c r="A693" s="245">
        <v>42654.0</v>
      </c>
      <c r="B693" s="241">
        <v>0.008801751413217608</v>
      </c>
      <c r="C693" s="241">
        <v>0.010763636363636338</v>
      </c>
      <c r="D693" s="241">
        <v>0.019565387776853998</v>
      </c>
      <c r="E693" s="248">
        <v>0.0020854479507337424</v>
      </c>
      <c r="F693" s="247">
        <v>8.376578514275025</v>
      </c>
      <c r="G693" s="246">
        <v>4322.335340451301</v>
      </c>
      <c r="H693" s="247">
        <v>8804.175000000001</v>
      </c>
      <c r="I693" s="247">
        <v>0.0</v>
      </c>
      <c r="J693" s="128">
        <v>51799.964</v>
      </c>
    </row>
    <row r="694">
      <c r="A694" s="245">
        <v>42653.0</v>
      </c>
      <c r="B694" s="241">
        <v>0.008769288723204267</v>
      </c>
      <c r="C694" s="241">
        <v>0.010758181818181793</v>
      </c>
      <c r="D694" s="241">
        <v>0.01952747054138611</v>
      </c>
      <c r="E694" s="248">
        <v>0.0020854479507337424</v>
      </c>
      <c r="F694" s="247">
        <v>8.376578514275025</v>
      </c>
      <c r="G694" s="246">
        <v>4313.958761937026</v>
      </c>
      <c r="H694" s="247">
        <v>8804.175000000001</v>
      </c>
      <c r="I694" s="247">
        <v>0.0</v>
      </c>
      <c r="J694" s="128">
        <v>51407.684</v>
      </c>
    </row>
    <row r="695">
      <c r="A695" s="245">
        <v>42650.0</v>
      </c>
      <c r="B695" s="241">
        <v>0.008736826033190927</v>
      </c>
      <c r="C695" s="241">
        <v>0.010752727272727249</v>
      </c>
      <c r="D695" s="241">
        <v>0.019489553305918225</v>
      </c>
      <c r="E695" s="248">
        <v>0.0020854479507337424</v>
      </c>
      <c r="F695" s="247">
        <v>8.376578514275025</v>
      </c>
      <c r="G695" s="246">
        <v>4305.582183422751</v>
      </c>
      <c r="H695" s="247">
        <v>8804.175000000001</v>
      </c>
      <c r="I695" s="247">
        <v>0.0</v>
      </c>
      <c r="J695" s="128">
        <v>51265.846</v>
      </c>
    </row>
    <row r="696">
      <c r="A696" s="245">
        <v>42649.0</v>
      </c>
      <c r="B696" s="241">
        <v>0.008704363343177587</v>
      </c>
      <c r="C696" s="241">
        <v>0.010747272727272704</v>
      </c>
      <c r="D696" s="241">
        <v>0.019451636070450338</v>
      </c>
      <c r="E696" s="248">
        <v>0.0020854479507337424</v>
      </c>
      <c r="F696" s="247">
        <v>8.376578514275025</v>
      </c>
      <c r="G696" s="246">
        <v>4297.205604908476</v>
      </c>
      <c r="H696" s="247">
        <v>8804.175000000001</v>
      </c>
      <c r="I696" s="247">
        <v>0.0</v>
      </c>
      <c r="J696" s="128">
        <v>51234.536</v>
      </c>
    </row>
    <row r="697">
      <c r="A697" s="245">
        <v>42648.0</v>
      </c>
      <c r="B697" s="241">
        <v>0.008671900653164246</v>
      </c>
      <c r="C697" s="241">
        <v>0.01074181818181816</v>
      </c>
      <c r="D697" s="241">
        <v>0.01941371883498245</v>
      </c>
      <c r="E697" s="248">
        <v>0.0020854479507337424</v>
      </c>
      <c r="F697" s="247">
        <v>8.376578514275025</v>
      </c>
      <c r="G697" s="246">
        <v>4288.829026394201</v>
      </c>
      <c r="H697" s="247">
        <v>8804.175000000001</v>
      </c>
      <c r="I697" s="247">
        <v>0.0</v>
      </c>
      <c r="J697" s="128">
        <v>51473.86</v>
      </c>
    </row>
    <row r="698">
      <c r="A698" s="245">
        <v>42647.0</v>
      </c>
      <c r="B698" s="241">
        <v>0.008639437963150906</v>
      </c>
      <c r="C698" s="241">
        <v>0.010736363636363615</v>
      </c>
      <c r="D698" s="241">
        <v>0.019375801599514565</v>
      </c>
      <c r="E698" s="248">
        <v>0.0020854479507337424</v>
      </c>
      <c r="F698" s="247">
        <v>8.376578514275025</v>
      </c>
      <c r="G698" s="246">
        <v>4280.452447879926</v>
      </c>
      <c r="H698" s="247">
        <v>8804.175000000001</v>
      </c>
      <c r="I698" s="247">
        <v>0.0</v>
      </c>
      <c r="J698" s="128">
        <v>52099.532</v>
      </c>
    </row>
    <row r="699">
      <c r="A699" s="245">
        <v>42646.0</v>
      </c>
      <c r="B699" s="241">
        <v>0.008606975273137566</v>
      </c>
      <c r="C699" s="241">
        <v>0.01073090909090907</v>
      </c>
      <c r="D699" s="241">
        <v>0.019337884364046678</v>
      </c>
      <c r="E699" s="248">
        <v>0.0020854479507337424</v>
      </c>
      <c r="F699" s="247">
        <v>8.376578514275025</v>
      </c>
      <c r="G699" s="246">
        <v>4272.075869365651</v>
      </c>
      <c r="H699" s="247">
        <v>8804.175000000001</v>
      </c>
      <c r="I699" s="247">
        <v>0.0</v>
      </c>
      <c r="J699" s="128">
        <v>52652.98</v>
      </c>
    </row>
    <row r="700">
      <c r="A700" s="245">
        <v>42643.0</v>
      </c>
      <c r="B700" s="241">
        <v>0.008574512583124225</v>
      </c>
      <c r="C700" s="241">
        <v>0.010725454545454526</v>
      </c>
      <c r="D700" s="241">
        <v>0.01929996712857879</v>
      </c>
      <c r="E700" s="248">
        <v>0.0020854479507337424</v>
      </c>
      <c r="F700" s="247">
        <v>8.376578514275025</v>
      </c>
      <c r="G700" s="246">
        <v>4263.699290851376</v>
      </c>
      <c r="H700" s="247">
        <v>8804.175000000001</v>
      </c>
      <c r="I700" s="247">
        <v>0.0</v>
      </c>
      <c r="J700" s="128">
        <v>52814.316</v>
      </c>
    </row>
    <row r="701">
      <c r="A701" s="245">
        <v>42642.0</v>
      </c>
      <c r="B701" s="241">
        <v>0.008542049893110885</v>
      </c>
      <c r="C701" s="241">
        <v>0.010719999999999981</v>
      </c>
      <c r="D701" s="241">
        <v>0.019262049893110905</v>
      </c>
      <c r="E701" s="248">
        <v>0.0020854479507337424</v>
      </c>
      <c r="F701" s="247">
        <v>8.376578514275025</v>
      </c>
      <c r="G701" s="246">
        <v>4255.322712337101</v>
      </c>
      <c r="H701" s="247">
        <v>8804.175000000001</v>
      </c>
      <c r="I701" s="247">
        <v>0.0</v>
      </c>
      <c r="J701" s="128">
        <v>52701.514</v>
      </c>
    </row>
    <row r="702">
      <c r="A702" s="245">
        <v>42641.0</v>
      </c>
      <c r="B702" s="241">
        <v>0.008509587203097545</v>
      </c>
      <c r="C702" s="241">
        <v>0.010714545454545437</v>
      </c>
      <c r="D702" s="241">
        <v>0.019224132657643018</v>
      </c>
      <c r="E702" s="248">
        <v>0.0020854479507337424</v>
      </c>
      <c r="F702" s="247">
        <v>8.376578514275025</v>
      </c>
      <c r="G702" s="246">
        <v>4246.946133822826</v>
      </c>
      <c r="H702" s="247">
        <v>8804.175000000001</v>
      </c>
      <c r="I702" s="247">
        <v>0.0</v>
      </c>
      <c r="J702" s="128">
        <v>52979.718</v>
      </c>
    </row>
    <row r="703">
      <c r="A703" s="245">
        <v>42640.0</v>
      </c>
      <c r="B703" s="241">
        <v>0.008477124513084204</v>
      </c>
      <c r="C703" s="241">
        <v>0.010709090909090892</v>
      </c>
      <c r="D703" s="241">
        <v>0.01918621542217513</v>
      </c>
      <c r="E703" s="248">
        <v>0.0020854479507337424</v>
      </c>
      <c r="F703" s="247">
        <v>8.376578514275025</v>
      </c>
      <c r="G703" s="246">
        <v>4238.569555308551</v>
      </c>
      <c r="H703" s="247">
        <v>8804.175000000001</v>
      </c>
      <c r="I703" s="247">
        <v>0.0</v>
      </c>
      <c r="J703" s="128">
        <v>53041.532</v>
      </c>
    </row>
    <row r="704">
      <c r="A704" s="245">
        <v>42639.0</v>
      </c>
      <c r="B704" s="241">
        <v>0.008444661823070864</v>
      </c>
      <c r="C704" s="241">
        <v>0.010703636363636347</v>
      </c>
      <c r="D704" s="241">
        <v>0.019148298186707245</v>
      </c>
      <c r="E704" s="248">
        <v>0.0020854479507337424</v>
      </c>
      <c r="F704" s="247">
        <v>8.376578514275025</v>
      </c>
      <c r="G704" s="246">
        <v>4230.192976794276</v>
      </c>
      <c r="H704" s="247">
        <v>8804.175000000001</v>
      </c>
      <c r="I704" s="247">
        <v>0.0</v>
      </c>
      <c r="J704" s="128">
        <v>53173.628000000004</v>
      </c>
    </row>
    <row r="705">
      <c r="A705" s="245">
        <v>42636.0</v>
      </c>
      <c r="B705" s="241">
        <v>0.008412199133057524</v>
      </c>
      <c r="C705" s="241">
        <v>0.010698181818181803</v>
      </c>
      <c r="D705" s="241">
        <v>0.019110380951239358</v>
      </c>
      <c r="E705" s="248">
        <v>0.0020854479507337424</v>
      </c>
      <c r="F705" s="247">
        <v>8.376578514275025</v>
      </c>
      <c r="G705" s="246">
        <v>4221.816398280001</v>
      </c>
      <c r="H705" s="247">
        <v>8804.175000000001</v>
      </c>
      <c r="I705" s="247">
        <v>0.0</v>
      </c>
      <c r="J705" s="128">
        <v>53253.69</v>
      </c>
    </row>
    <row r="706">
      <c r="A706" s="245">
        <v>42635.0</v>
      </c>
      <c r="B706" s="241">
        <v>0.008379736443044183</v>
      </c>
      <c r="C706" s="241">
        <v>0.010692727272727258</v>
      </c>
      <c r="D706" s="241">
        <v>0.01907246371577147</v>
      </c>
      <c r="E706" s="248">
        <v>0.0020854479507337424</v>
      </c>
      <c r="F706" s="247">
        <v>8.376578514275025</v>
      </c>
      <c r="G706" s="246">
        <v>4213.439819765726</v>
      </c>
      <c r="H706" s="247">
        <v>8804.175000000001</v>
      </c>
      <c r="I706" s="247">
        <v>0.0</v>
      </c>
      <c r="J706" s="128">
        <v>53197.11800000001</v>
      </c>
    </row>
    <row r="707">
      <c r="A707" s="245">
        <v>42634.0</v>
      </c>
      <c r="B707" s="241">
        <v>0.008347273753030843</v>
      </c>
      <c r="C707" s="241">
        <v>0.010687272727272714</v>
      </c>
      <c r="D707" s="241">
        <v>0.019034546480303585</v>
      </c>
      <c r="E707" s="248">
        <v>0.0020854479507337424</v>
      </c>
      <c r="F707" s="247">
        <v>8.376578514275025</v>
      </c>
      <c r="G707" s="246">
        <v>4205.063241251451</v>
      </c>
      <c r="H707" s="247">
        <v>8804.175000000001</v>
      </c>
      <c r="I707" s="247">
        <v>0.0</v>
      </c>
      <c r="J707" s="128">
        <v>53192.443999999996</v>
      </c>
    </row>
    <row r="708">
      <c r="A708" s="245">
        <v>42633.0</v>
      </c>
      <c r="B708" s="241">
        <v>0.008314811063017503</v>
      </c>
      <c r="C708" s="241">
        <v>0.010681818181818169</v>
      </c>
      <c r="D708" s="241">
        <v>0.018996629244835698</v>
      </c>
      <c r="E708" s="248">
        <v>0.0020854479507337424</v>
      </c>
      <c r="F708" s="247">
        <v>8.376578514275025</v>
      </c>
      <c r="G708" s="246">
        <v>4196.6866627371755</v>
      </c>
      <c r="H708" s="247">
        <v>8804.175000000001</v>
      </c>
      <c r="I708" s="247">
        <v>0.0</v>
      </c>
      <c r="J708" s="128">
        <v>52828.568</v>
      </c>
    </row>
    <row r="709">
      <c r="A709" s="245">
        <v>42632.0</v>
      </c>
      <c r="B709" s="241">
        <v>0.008282348373004162</v>
      </c>
      <c r="C709" s="241">
        <v>0.010676363636363624</v>
      </c>
      <c r="D709" s="241">
        <v>0.01895871200936781</v>
      </c>
      <c r="E709" s="248">
        <v>0.0020854479507337424</v>
      </c>
      <c r="F709" s="247">
        <v>8.376578514275025</v>
      </c>
      <c r="G709" s="246">
        <v>4188.3100842229005</v>
      </c>
      <c r="H709" s="247">
        <v>8804.175000000001</v>
      </c>
      <c r="I709" s="247">
        <v>0.0</v>
      </c>
      <c r="J709" s="128">
        <v>52767.426</v>
      </c>
    </row>
    <row r="710">
      <c r="A710" s="245">
        <v>42629.0</v>
      </c>
      <c r="B710" s="241">
        <v>0.008249885682990822</v>
      </c>
      <c r="C710" s="241">
        <v>0.01067090909090908</v>
      </c>
      <c r="D710" s="241">
        <v>0.018920794773899925</v>
      </c>
      <c r="E710" s="248">
        <v>0.0020854479507337424</v>
      </c>
      <c r="F710" s="247">
        <v>8.376578514275025</v>
      </c>
      <c r="G710" s="246">
        <v>4179.9335057086255</v>
      </c>
      <c r="H710" s="247">
        <v>8804.175000000001</v>
      </c>
      <c r="I710" s="247">
        <v>0.0</v>
      </c>
      <c r="J710" s="128">
        <v>52641.214</v>
      </c>
    </row>
    <row r="711">
      <c r="A711" s="245">
        <v>42628.0</v>
      </c>
      <c r="B711" s="241">
        <v>0.008217422992977482</v>
      </c>
      <c r="C711" s="241">
        <v>0.010665454545454535</v>
      </c>
      <c r="D711" s="241">
        <v>0.018882877538432038</v>
      </c>
      <c r="E711" s="248">
        <v>0.0020854479507337424</v>
      </c>
      <c r="F711" s="247">
        <v>8.376578514275025</v>
      </c>
      <c r="G711" s="246">
        <v>4171.5569271943505</v>
      </c>
      <c r="H711" s="247">
        <v>8804.175000000001</v>
      </c>
      <c r="I711" s="247">
        <v>0.0</v>
      </c>
      <c r="J711" s="128">
        <v>52504.808</v>
      </c>
    </row>
    <row r="712">
      <c r="A712" s="245">
        <v>42627.0</v>
      </c>
      <c r="B712" s="241">
        <v>0.008184960302964141</v>
      </c>
      <c r="C712" s="241">
        <v>0.01065999999999999</v>
      </c>
      <c r="D712" s="241">
        <v>0.01884496030296415</v>
      </c>
      <c r="E712" s="248">
        <v>0.0020854479507337424</v>
      </c>
      <c r="F712" s="247">
        <v>8.376578514275025</v>
      </c>
      <c r="G712" s="246">
        <v>4163.180348680075</v>
      </c>
      <c r="H712" s="247">
        <v>8804.175000000001</v>
      </c>
      <c r="I712" s="247">
        <v>0.0</v>
      </c>
      <c r="J712" s="128">
        <v>52381.718</v>
      </c>
    </row>
    <row r="713">
      <c r="A713" s="245">
        <v>42626.0</v>
      </c>
      <c r="B713" s="241">
        <v>0.008152497612950801</v>
      </c>
      <c r="C713" s="241">
        <v>0.010654545454545446</v>
      </c>
      <c r="D713" s="241">
        <v>0.018807043067496265</v>
      </c>
      <c r="E713" s="248">
        <v>0.0020854479507337424</v>
      </c>
      <c r="F713" s="247">
        <v>8.376578514275025</v>
      </c>
      <c r="G713" s="246">
        <v>4154.8037701658</v>
      </c>
      <c r="H713" s="247">
        <v>8804.175000000001</v>
      </c>
      <c r="I713" s="247">
        <v>0.0</v>
      </c>
      <c r="J713" s="128">
        <v>52623.562</v>
      </c>
    </row>
    <row r="714">
      <c r="A714" s="245">
        <v>42625.0</v>
      </c>
      <c r="B714" s="241">
        <v>0.00812003492293746</v>
      </c>
      <c r="C714" s="241">
        <v>0.010649090909090901</v>
      </c>
      <c r="D714" s="241">
        <v>0.018769125832028378</v>
      </c>
      <c r="E714" s="248">
        <v>0.0020854479507337424</v>
      </c>
      <c r="F714" s="247">
        <v>8.376578514275025</v>
      </c>
      <c r="G714" s="246">
        <v>4146.427191651525</v>
      </c>
      <c r="H714" s="247">
        <v>8804.175000000001</v>
      </c>
      <c r="I714" s="247">
        <v>0.0</v>
      </c>
      <c r="J714" s="128">
        <v>52807.502</v>
      </c>
    </row>
    <row r="715">
      <c r="A715" s="245">
        <v>42622.0</v>
      </c>
      <c r="B715" s="241">
        <v>0.00808757223292412</v>
      </c>
      <c r="C715" s="241">
        <v>0.010643636363636357</v>
      </c>
      <c r="D715" s="241">
        <v>0.01873120859656049</v>
      </c>
      <c r="E715" s="248">
        <v>0.0020854479507337424</v>
      </c>
      <c r="F715" s="247">
        <v>8.376578514275025</v>
      </c>
      <c r="G715" s="246">
        <v>4138.05061313725</v>
      </c>
      <c r="H715" s="247">
        <v>8804.175000000001</v>
      </c>
      <c r="I715" s="247">
        <v>0.0</v>
      </c>
      <c r="J715" s="128">
        <v>53062.202</v>
      </c>
    </row>
    <row r="716">
      <c r="A716" s="245">
        <v>42621.0</v>
      </c>
      <c r="B716" s="241">
        <v>0.00805510954291078</v>
      </c>
      <c r="C716" s="241">
        <v>0.010638181818181812</v>
      </c>
      <c r="D716" s="241">
        <v>0.018693291361092605</v>
      </c>
      <c r="E716" s="248">
        <v>0.0020854479507337424</v>
      </c>
      <c r="F716" s="247">
        <v>8.376578514275025</v>
      </c>
      <c r="G716" s="246">
        <v>4129.674034622975</v>
      </c>
      <c r="H716" s="247">
        <v>8804.175000000001</v>
      </c>
      <c r="I716" s="247">
        <v>0.0</v>
      </c>
      <c r="J716" s="128">
        <v>53139.43</v>
      </c>
    </row>
    <row r="717">
      <c r="A717" s="245">
        <v>42620.0</v>
      </c>
      <c r="B717" s="241">
        <v>0.00802264685289744</v>
      </c>
      <c r="C717" s="241">
        <v>0.010632727272727268</v>
      </c>
      <c r="D717" s="241">
        <v>0.018655374125624718</v>
      </c>
      <c r="E717" s="248">
        <v>0.0020854479507337424</v>
      </c>
      <c r="F717" s="247">
        <v>8.376578514275025</v>
      </c>
      <c r="G717" s="246">
        <v>4121.2974561087</v>
      </c>
      <c r="H717" s="247">
        <v>8804.175000000001</v>
      </c>
      <c r="I717" s="247">
        <v>0.0</v>
      </c>
      <c r="J717" s="128">
        <v>53537.728</v>
      </c>
    </row>
    <row r="718">
      <c r="A718" s="245">
        <v>42619.0</v>
      </c>
      <c r="B718" s="241">
        <v>0.0079901841628841</v>
      </c>
      <c r="C718" s="241">
        <v>0.010627272727272723</v>
      </c>
      <c r="D718" s="241">
        <v>0.01861745689015683</v>
      </c>
      <c r="E718" s="248">
        <v>0.0020854479507337424</v>
      </c>
      <c r="F718" s="247">
        <v>8.376578514275025</v>
      </c>
      <c r="G718" s="246">
        <v>4112.920877594425</v>
      </c>
      <c r="H718" s="247">
        <v>8804.175000000001</v>
      </c>
      <c r="I718" s="247">
        <v>0.0</v>
      </c>
      <c r="J718" s="128">
        <v>53198.852</v>
      </c>
    </row>
    <row r="719">
      <c r="A719" s="245">
        <v>42618.0</v>
      </c>
      <c r="B719" s="241">
        <v>0.007957721472870759</v>
      </c>
      <c r="C719" s="241">
        <v>0.010621818181818178</v>
      </c>
      <c r="D719" s="241">
        <v>0.018579539654688944</v>
      </c>
      <c r="E719" s="248">
        <v>0.0020854479507337424</v>
      </c>
      <c r="F719" s="247">
        <v>8.376578514275025</v>
      </c>
      <c r="G719" s="246">
        <v>4104.54429908015</v>
      </c>
      <c r="H719" s="247">
        <v>8804.175000000001</v>
      </c>
      <c r="I719" s="247">
        <v>0.0</v>
      </c>
      <c r="J719" s="128">
        <v>53337.724</v>
      </c>
    </row>
    <row r="720">
      <c r="A720" s="245">
        <v>42615.0</v>
      </c>
      <c r="B720" s="241">
        <v>0.007925258782857419</v>
      </c>
      <c r="C720" s="241">
        <v>0.010616363636363634</v>
      </c>
      <c r="D720" s="241">
        <v>0.018541622419221058</v>
      </c>
      <c r="E720" s="248">
        <v>0.0020854479507337424</v>
      </c>
      <c r="F720" s="247">
        <v>8.37657851427548</v>
      </c>
      <c r="G720" s="246">
        <v>4096.167720565875</v>
      </c>
      <c r="H720" s="247">
        <v>8804.175000000001</v>
      </c>
      <c r="I720" s="247">
        <v>0.0</v>
      </c>
      <c r="J720" s="128">
        <v>53094.242</v>
      </c>
    </row>
    <row r="721">
      <c r="A721" s="245">
        <v>42614.0</v>
      </c>
      <c r="B721" s="241">
        <v>0.007892796092844078</v>
      </c>
      <c r="C721" s="241">
        <v>0.01061090909090909</v>
      </c>
      <c r="D721" s="241">
        <v>0.01850370518375317</v>
      </c>
      <c r="E721" s="248">
        <v>0.0020854479507337424</v>
      </c>
      <c r="F721" s="247">
        <v>8.376578514275025</v>
      </c>
      <c r="G721" s="246">
        <v>4087.7911420515998</v>
      </c>
      <c r="H721" s="247">
        <v>8804.175000000001</v>
      </c>
      <c r="I721" s="247">
        <v>0.0</v>
      </c>
      <c r="J721" s="128">
        <v>52738.084</v>
      </c>
    </row>
    <row r="722">
      <c r="A722" s="245">
        <v>42613.0</v>
      </c>
      <c r="B722" s="241">
        <v>0.007860333402830738</v>
      </c>
      <c r="C722" s="241">
        <v>0.010605454545454545</v>
      </c>
      <c r="D722" s="241">
        <v>0.018465787948285284</v>
      </c>
      <c r="E722" s="248">
        <v>0.0020854479507337424</v>
      </c>
      <c r="F722" s="247">
        <v>8.376578514275025</v>
      </c>
      <c r="G722" s="246">
        <v>4079.4145635373247</v>
      </c>
      <c r="H722" s="247">
        <v>8804.175000000001</v>
      </c>
      <c r="I722" s="247">
        <v>0.0</v>
      </c>
      <c r="J722" s="128">
        <v>52835.68</v>
      </c>
    </row>
    <row r="723">
      <c r="A723" s="245">
        <v>42612.0</v>
      </c>
      <c r="B723" s="28">
        <v>0.007827870712817398</v>
      </c>
      <c r="C723" s="28">
        <v>0.0106</v>
      </c>
      <c r="D723" s="173">
        <v>0.018427870712817398</v>
      </c>
      <c r="E723" s="173">
        <v>6.677288568882056E-4</v>
      </c>
      <c r="F723" s="247">
        <v>12.292745693245251</v>
      </c>
      <c r="G723" s="246">
        <v>4071.0379850230497</v>
      </c>
      <c r="H723" s="247">
        <v>8804.175000000001</v>
      </c>
      <c r="I723" s="247">
        <v>0.0</v>
      </c>
      <c r="J723" s="128">
        <v>53078.71</v>
      </c>
    </row>
    <row r="724">
      <c r="A724" s="245">
        <v>42611.0</v>
      </c>
      <c r="B724" s="241">
        <v>0.007822226641410048</v>
      </c>
      <c r="C724" s="241">
        <v>0.010549999999999997</v>
      </c>
      <c r="D724" s="241">
        <v>0.018372226641410035</v>
      </c>
      <c r="E724" s="248">
        <v>6.677288568882056E-4</v>
      </c>
      <c r="F724" s="247">
        <v>12.292745693244797</v>
      </c>
      <c r="G724" s="246">
        <v>4058.7452393298045</v>
      </c>
      <c r="H724" s="247">
        <v>8804.175000000001</v>
      </c>
      <c r="I724" s="247">
        <v>0.0</v>
      </c>
      <c r="J724" s="128">
        <v>53167.106</v>
      </c>
    </row>
    <row r="725">
      <c r="A725" s="245">
        <v>42608.0</v>
      </c>
      <c r="B725" s="241">
        <v>0.007816582570002697</v>
      </c>
      <c r="C725" s="241">
        <v>0.010499999999999997</v>
      </c>
      <c r="D725" s="241">
        <v>0.018316582570002685</v>
      </c>
      <c r="E725" s="248">
        <v>6.677288568882056E-4</v>
      </c>
      <c r="F725" s="247">
        <v>12.292745693244797</v>
      </c>
      <c r="G725" s="246">
        <v>4046.4524936365597</v>
      </c>
      <c r="H725" s="247">
        <v>8804.175000000001</v>
      </c>
      <c r="I725" s="247">
        <v>0.0</v>
      </c>
      <c r="J725" s="128">
        <v>53001.49800000001</v>
      </c>
    </row>
    <row r="726">
      <c r="A726" s="245">
        <v>42607.0</v>
      </c>
      <c r="B726" s="241">
        <v>0.007810938498595346</v>
      </c>
      <c r="C726" s="241">
        <v>0.010449999999999997</v>
      </c>
      <c r="D726" s="241">
        <v>0.018260938498595336</v>
      </c>
      <c r="E726" s="248">
        <v>6.677288568882056E-4</v>
      </c>
      <c r="F726" s="247">
        <v>12.292745693244797</v>
      </c>
      <c r="G726" s="246">
        <v>4034.159747943315</v>
      </c>
      <c r="H726" s="247">
        <v>8804.175000000001</v>
      </c>
      <c r="I726" s="247">
        <v>0.0</v>
      </c>
      <c r="J726" s="128">
        <v>52671.295999999995</v>
      </c>
    </row>
    <row r="727">
      <c r="A727" s="245">
        <v>42606.0</v>
      </c>
      <c r="B727" s="241">
        <v>0.007805294427187996</v>
      </c>
      <c r="C727" s="241">
        <v>0.010399999999999998</v>
      </c>
      <c r="D727" s="241">
        <v>0.018205294427187987</v>
      </c>
      <c r="E727" s="248">
        <v>6.677288568882056E-4</v>
      </c>
      <c r="F727" s="247">
        <v>12.292745693244797</v>
      </c>
      <c r="G727" s="246">
        <v>4021.86700225007</v>
      </c>
      <c r="H727" s="247">
        <v>8804.175000000001</v>
      </c>
      <c r="I727" s="247">
        <v>0.0</v>
      </c>
      <c r="J727" s="128">
        <v>52861.950000000004</v>
      </c>
    </row>
    <row r="728">
      <c r="A728" s="245">
        <v>42605.0</v>
      </c>
      <c r="B728" s="241">
        <v>0.007799650355780645</v>
      </c>
      <c r="C728" s="241">
        <v>0.010349999999999998</v>
      </c>
      <c r="D728" s="241">
        <v>0.018149650355780637</v>
      </c>
      <c r="E728" s="248">
        <v>6.677288568882056E-4</v>
      </c>
      <c r="F728" s="247">
        <v>12.292745693244797</v>
      </c>
      <c r="G728" s="246">
        <v>4009.5742565568253</v>
      </c>
      <c r="H728" s="247">
        <v>8804.175000000001</v>
      </c>
      <c r="I728" s="247">
        <v>0.0</v>
      </c>
      <c r="J728" s="128">
        <v>53032.406</v>
      </c>
    </row>
    <row r="729">
      <c r="A729" s="245">
        <v>42604.0</v>
      </c>
      <c r="B729" s="241">
        <v>0.007794006284373295</v>
      </c>
      <c r="C729" s="241">
        <v>0.010299999999999998</v>
      </c>
      <c r="D729" s="241">
        <v>0.018094006284373288</v>
      </c>
      <c r="E729" s="248">
        <v>6.677288568882056E-4</v>
      </c>
      <c r="F729" s="247">
        <v>12.292745693244797</v>
      </c>
      <c r="G729" s="246">
        <v>3997.2815108635805</v>
      </c>
      <c r="H729" s="247">
        <v>8804.175000000001</v>
      </c>
      <c r="I729" s="247">
        <v>0.0</v>
      </c>
      <c r="J729" s="128">
        <v>52954.446</v>
      </c>
    </row>
    <row r="730">
      <c r="A730" s="245">
        <v>42601.0</v>
      </c>
      <c r="B730" s="241">
        <v>0.007788362212965944</v>
      </c>
      <c r="C730" s="241">
        <v>0.010249999999999999</v>
      </c>
      <c r="D730" s="241">
        <v>0.01803836221296594</v>
      </c>
      <c r="E730" s="248">
        <v>6.677288568882056E-4</v>
      </c>
      <c r="F730" s="247">
        <v>12.292745693244797</v>
      </c>
      <c r="G730" s="246">
        <v>3984.9887651703357</v>
      </c>
      <c r="H730" s="247">
        <v>8804.175000000001</v>
      </c>
      <c r="I730" s="247">
        <v>0.0</v>
      </c>
      <c r="J730" s="128">
        <v>52951.838</v>
      </c>
    </row>
    <row r="731">
      <c r="A731" s="245">
        <v>42600.0</v>
      </c>
      <c r="B731" s="241">
        <v>0.007782718141558594</v>
      </c>
      <c r="C731" s="241">
        <v>0.010199999999999999</v>
      </c>
      <c r="D731" s="241">
        <v>0.01798271814155859</v>
      </c>
      <c r="E731" s="248">
        <v>6.677288568882056E-4</v>
      </c>
      <c r="F731" s="247">
        <v>12.292745693244797</v>
      </c>
      <c r="G731" s="246">
        <v>3972.696019477091</v>
      </c>
      <c r="H731" s="247">
        <v>8804.175000000001</v>
      </c>
      <c r="I731" s="247">
        <v>0.0</v>
      </c>
      <c r="J731" s="128">
        <v>53204.962</v>
      </c>
    </row>
    <row r="732">
      <c r="A732" s="245">
        <v>42599.0</v>
      </c>
      <c r="B732" s="241">
        <v>0.0077770740701512435</v>
      </c>
      <c r="C732" s="241">
        <v>0.01015</v>
      </c>
      <c r="D732" s="241">
        <v>0.01792707407015124</v>
      </c>
      <c r="E732" s="248">
        <v>6.677288568882056E-4</v>
      </c>
      <c r="F732" s="247">
        <v>12.292745693244797</v>
      </c>
      <c r="G732" s="246">
        <v>3960.403273783846</v>
      </c>
      <c r="H732" s="247">
        <v>8804.175000000001</v>
      </c>
      <c r="I732" s="247">
        <v>0.0</v>
      </c>
      <c r="J732" s="128">
        <v>53153.505999999994</v>
      </c>
    </row>
    <row r="733">
      <c r="A733" s="245">
        <v>42598.0</v>
      </c>
      <c r="B733" s="241">
        <v>0.007771429998743893</v>
      </c>
      <c r="C733" s="241">
        <v>0.0101</v>
      </c>
      <c r="D733" s="241">
        <v>0.01787142999874389</v>
      </c>
      <c r="E733" s="248">
        <v>6.677288568882056E-4</v>
      </c>
      <c r="F733" s="247">
        <v>12.292745693244797</v>
      </c>
      <c r="G733" s="246">
        <v>3948.1105280906013</v>
      </c>
      <c r="H733" s="247">
        <v>8804.175000000001</v>
      </c>
      <c r="I733" s="247">
        <v>0.0</v>
      </c>
      <c r="J733" s="128">
        <v>53339.225999999995</v>
      </c>
    </row>
    <row r="734">
      <c r="A734" s="245">
        <v>42597.0</v>
      </c>
      <c r="B734" s="241">
        <v>0.0077657859273365425</v>
      </c>
      <c r="C734" s="241">
        <v>0.01005</v>
      </c>
      <c r="D734" s="241">
        <v>0.01781578592733654</v>
      </c>
      <c r="E734" s="248">
        <v>6.677288568882056E-4</v>
      </c>
      <c r="F734" s="247">
        <v>12.292745693244797</v>
      </c>
      <c r="G734" s="246">
        <v>3935.8177823973565</v>
      </c>
      <c r="H734" s="247">
        <v>8804.175000000001</v>
      </c>
      <c r="I734" s="247">
        <v>0.0</v>
      </c>
      <c r="J734" s="128">
        <v>53615.734000000004</v>
      </c>
    </row>
    <row r="735">
      <c r="A735" s="245">
        <v>42594.0</v>
      </c>
      <c r="B735" s="28">
        <v>0.007760141855929192</v>
      </c>
      <c r="C735" s="28">
        <v>0.01</v>
      </c>
      <c r="D735" s="173">
        <v>0.017760141855929192</v>
      </c>
      <c r="E735" s="173">
        <v>0.001067584752937379</v>
      </c>
      <c r="F735" s="247">
        <v>9.827003684553347</v>
      </c>
      <c r="G735" s="246">
        <v>3923.5250367041117</v>
      </c>
      <c r="H735" s="247">
        <v>8804.175000000001</v>
      </c>
      <c r="I735" s="247">
        <v>0.0</v>
      </c>
      <c r="J735" s="128">
        <v>54102.60999999999</v>
      </c>
    </row>
    <row r="736">
      <c r="A736" s="245">
        <v>42593.0</v>
      </c>
      <c r="B736" s="241">
        <v>0.007757325824556805</v>
      </c>
      <c r="C736" s="241">
        <v>0.009958333333333347</v>
      </c>
      <c r="D736" s="241">
        <v>0.01771565915789017</v>
      </c>
      <c r="E736" s="248">
        <v>0.001067584752937379</v>
      </c>
      <c r="F736" s="247">
        <v>9.827003684552437</v>
      </c>
      <c r="G736" s="246">
        <v>3913.6980330195584</v>
      </c>
      <c r="H736" s="247">
        <v>8804.175000000001</v>
      </c>
      <c r="I736" s="247">
        <v>0.0</v>
      </c>
      <c r="J736" s="128">
        <v>53890.416</v>
      </c>
    </row>
    <row r="737">
      <c r="A737" s="245">
        <v>42592.0</v>
      </c>
      <c r="B737" s="241">
        <v>0.007754509793184414</v>
      </c>
      <c r="C737" s="241">
        <v>0.00991666666666668</v>
      </c>
      <c r="D737" s="241">
        <v>0.017671176459851112</v>
      </c>
      <c r="E737" s="248">
        <v>0.001067584752937379</v>
      </c>
      <c r="F737" s="247">
        <v>9.827003684552437</v>
      </c>
      <c r="G737" s="246">
        <v>3903.871029335006</v>
      </c>
      <c r="H737" s="247">
        <v>8804.175000000001</v>
      </c>
      <c r="I737" s="247">
        <v>0.0</v>
      </c>
      <c r="J737" s="128">
        <v>53917.53999999999</v>
      </c>
    </row>
    <row r="738">
      <c r="A738" s="245">
        <v>42591.0</v>
      </c>
      <c r="B738" s="241">
        <v>0.007751693761812023</v>
      </c>
      <c r="C738" s="241">
        <v>0.009875000000000012</v>
      </c>
      <c r="D738" s="241">
        <v>0.017626693761812053</v>
      </c>
      <c r="E738" s="248">
        <v>0.001067584752937379</v>
      </c>
      <c r="F738" s="247">
        <v>9.827003684552437</v>
      </c>
      <c r="G738" s="246">
        <v>3894.0440256504535</v>
      </c>
      <c r="H738" s="247">
        <v>8804.175000000001</v>
      </c>
      <c r="I738" s="247">
        <v>0.0</v>
      </c>
      <c r="J738" s="128">
        <v>53828.85399999999</v>
      </c>
    </row>
    <row r="739">
      <c r="A739" s="245">
        <v>42590.0</v>
      </c>
      <c r="B739" s="241">
        <v>0.007748877730439632</v>
      </c>
      <c r="C739" s="241">
        <v>0.009833333333333345</v>
      </c>
      <c r="D739" s="241">
        <v>0.017582211063772994</v>
      </c>
      <c r="E739" s="248">
        <v>0.001067584752937379</v>
      </c>
      <c r="F739" s="247">
        <v>9.827003684552437</v>
      </c>
      <c r="G739" s="246">
        <v>3884.217021965901</v>
      </c>
      <c r="H739" s="247">
        <v>8804.175000000001</v>
      </c>
      <c r="I739" s="247">
        <v>0.0</v>
      </c>
      <c r="J739" s="128">
        <v>53957.83999999999</v>
      </c>
    </row>
    <row r="740">
      <c r="A740" s="245">
        <v>42587.0</v>
      </c>
      <c r="B740" s="241">
        <v>0.007746061699067241</v>
      </c>
      <c r="C740" s="241">
        <v>0.009791666666666678</v>
      </c>
      <c r="D740" s="241">
        <v>0.017537728365733935</v>
      </c>
      <c r="E740" s="248">
        <v>0.001067584752937379</v>
      </c>
      <c r="F740" s="247">
        <v>9.827003684552437</v>
      </c>
      <c r="G740" s="246">
        <v>3874.3900182813486</v>
      </c>
      <c r="H740" s="247">
        <v>8804.175000000001</v>
      </c>
      <c r="I740" s="247">
        <v>0.0</v>
      </c>
      <c r="J740" s="128">
        <v>54011.744</v>
      </c>
    </row>
    <row r="741">
      <c r="A741" s="245">
        <v>42586.0</v>
      </c>
      <c r="B741" s="241">
        <v>0.00774324566769485</v>
      </c>
      <c r="C741" s="241">
        <v>0.00975000000000001</v>
      </c>
      <c r="D741" s="241">
        <v>0.017493245667694876</v>
      </c>
      <c r="E741" s="248">
        <v>0.001067584752937379</v>
      </c>
      <c r="F741" s="247">
        <v>9.827003684552437</v>
      </c>
      <c r="G741" s="246">
        <v>3864.563014596796</v>
      </c>
      <c r="H741" s="247">
        <v>8804.175000000001</v>
      </c>
      <c r="I741" s="247">
        <v>0.0</v>
      </c>
      <c r="J741" s="128">
        <v>54383.316</v>
      </c>
    </row>
    <row r="742">
      <c r="A742" s="245">
        <v>42585.0</v>
      </c>
      <c r="B742" s="241">
        <v>0.007740429636322459</v>
      </c>
      <c r="C742" s="241">
        <v>0.009708333333333343</v>
      </c>
      <c r="D742" s="241">
        <v>0.017448762969655817</v>
      </c>
      <c r="E742" s="248">
        <v>0.001067584752937379</v>
      </c>
      <c r="F742" s="247">
        <v>9.827003684552437</v>
      </c>
      <c r="G742" s="246">
        <v>3854.7360109122437</v>
      </c>
      <c r="H742" s="247">
        <v>8804.175000000001</v>
      </c>
      <c r="I742" s="247">
        <v>0.0</v>
      </c>
      <c r="J742" s="128">
        <v>53965.85199999999</v>
      </c>
    </row>
    <row r="743">
      <c r="A743" s="245">
        <v>42584.0</v>
      </c>
      <c r="B743" s="241">
        <v>0.007737613604950068</v>
      </c>
      <c r="C743" s="241">
        <v>0.009666666666666676</v>
      </c>
      <c r="D743" s="241">
        <v>0.017404280271616758</v>
      </c>
      <c r="E743" s="248">
        <v>0.001067584752937379</v>
      </c>
      <c r="F743" s="247">
        <v>9.827003684552437</v>
      </c>
      <c r="G743" s="246">
        <v>3844.9090072276913</v>
      </c>
      <c r="H743" s="247">
        <v>8804.175000000001</v>
      </c>
      <c r="I743" s="247">
        <v>0.0</v>
      </c>
      <c r="J743" s="128">
        <v>53994.92</v>
      </c>
    </row>
    <row r="744">
      <c r="A744" s="245">
        <v>42583.0</v>
      </c>
      <c r="B744" s="241">
        <v>0.007734797573577677</v>
      </c>
      <c r="C744" s="241">
        <v>0.009625000000000009</v>
      </c>
      <c r="D744" s="241">
        <v>0.0173597975735777</v>
      </c>
      <c r="E744" s="248">
        <v>0.001067584752937379</v>
      </c>
      <c r="F744" s="247">
        <v>9.827003684552437</v>
      </c>
      <c r="G744" s="246">
        <v>3835.082003543139</v>
      </c>
      <c r="H744" s="247">
        <v>8804.175000000001</v>
      </c>
      <c r="I744" s="247">
        <v>0.0</v>
      </c>
      <c r="J744" s="128">
        <v>53911.539999999986</v>
      </c>
    </row>
    <row r="745">
      <c r="A745" s="245">
        <v>42580.0</v>
      </c>
      <c r="B745" s="241">
        <v>0.0077319815422052865</v>
      </c>
      <c r="C745" s="241">
        <v>0.009583333333333341</v>
      </c>
      <c r="D745" s="241">
        <v>0.01731531487553864</v>
      </c>
      <c r="E745" s="248">
        <v>0.001067584752937379</v>
      </c>
      <c r="F745" s="247">
        <v>9.827003684552437</v>
      </c>
      <c r="G745" s="246">
        <v>3825.2549998585864</v>
      </c>
      <c r="H745" s="247">
        <v>8804.175000000001</v>
      </c>
      <c r="I745" s="247">
        <v>0.0</v>
      </c>
      <c r="J745" s="128">
        <v>53863.084</v>
      </c>
    </row>
    <row r="746">
      <c r="A746" s="245">
        <v>42579.0</v>
      </c>
      <c r="B746" s="241">
        <v>0.007729165510832896</v>
      </c>
      <c r="C746" s="241">
        <v>0.009541666666666674</v>
      </c>
      <c r="D746" s="241">
        <v>0.01727083217749958</v>
      </c>
      <c r="E746" s="248">
        <v>0.001067584752937379</v>
      </c>
      <c r="F746" s="247">
        <v>9.827003684552437</v>
      </c>
      <c r="G746" s="246">
        <v>3815.427996174034</v>
      </c>
      <c r="H746" s="247">
        <v>8804.175000000001</v>
      </c>
      <c r="I746" s="247">
        <v>0.0</v>
      </c>
      <c r="J746" s="128">
        <v>54019.47400000001</v>
      </c>
    </row>
    <row r="747">
      <c r="A747" s="245">
        <v>42578.0</v>
      </c>
      <c r="B747" s="241">
        <v>0.007726349479460505</v>
      </c>
      <c r="C747" s="241">
        <v>0.009500000000000007</v>
      </c>
      <c r="D747" s="241">
        <v>0.017226349479460522</v>
      </c>
      <c r="E747" s="248">
        <v>0.001067584752937379</v>
      </c>
      <c r="F747" s="247">
        <v>9.827003684552437</v>
      </c>
      <c r="G747" s="246">
        <v>3805.6009924894815</v>
      </c>
      <c r="H747" s="247">
        <v>8804.175000000001</v>
      </c>
      <c r="I747" s="247">
        <v>0.0</v>
      </c>
      <c r="J747" s="128">
        <v>54178.327999999994</v>
      </c>
    </row>
    <row r="748">
      <c r="A748" s="245">
        <v>42577.0</v>
      </c>
      <c r="B748" s="241">
        <v>0.007723533448088114</v>
      </c>
      <c r="C748" s="241">
        <v>0.00945833333333334</v>
      </c>
      <c r="D748" s="241">
        <v>0.017181866781421463</v>
      </c>
      <c r="E748" s="248">
        <v>0.001067584752937379</v>
      </c>
      <c r="F748" s="247">
        <v>9.827003684552437</v>
      </c>
      <c r="G748" s="246">
        <v>3795.773988804929</v>
      </c>
      <c r="H748" s="247">
        <v>8804.175000000001</v>
      </c>
      <c r="I748" s="247">
        <v>0.0</v>
      </c>
      <c r="J748" s="128">
        <v>54000.178</v>
      </c>
    </row>
    <row r="749">
      <c r="A749" s="245">
        <v>42576.0</v>
      </c>
      <c r="B749" s="241">
        <v>0.007720717416715723</v>
      </c>
      <c r="C749" s="241">
        <v>0.009416666666666672</v>
      </c>
      <c r="D749" s="241">
        <v>0.017137384083382404</v>
      </c>
      <c r="E749" s="248">
        <v>0.001067584752937379</v>
      </c>
      <c r="F749" s="247">
        <v>9.827003684552437</v>
      </c>
      <c r="G749" s="246">
        <v>3785.9469851203767</v>
      </c>
      <c r="H749" s="247">
        <v>8804.175000000001</v>
      </c>
      <c r="I749" s="247">
        <v>0.0</v>
      </c>
      <c r="J749" s="128">
        <v>54087.920000000006</v>
      </c>
    </row>
    <row r="750">
      <c r="A750" s="245">
        <v>42573.0</v>
      </c>
      <c r="B750" s="241">
        <v>0.007717901385343332</v>
      </c>
      <c r="C750" s="241">
        <v>0.009375000000000005</v>
      </c>
      <c r="D750" s="241">
        <v>0.017092901385343345</v>
      </c>
      <c r="E750" s="248">
        <v>0.001067584752937379</v>
      </c>
      <c r="F750" s="247">
        <v>9.827003684552437</v>
      </c>
      <c r="G750" s="246">
        <v>3776.1199814358242</v>
      </c>
      <c r="H750" s="247">
        <v>8804.175000000001</v>
      </c>
      <c r="I750" s="247">
        <v>0.0</v>
      </c>
      <c r="J750" s="128">
        <v>54071.488000000005</v>
      </c>
    </row>
    <row r="751">
      <c r="A751" s="245">
        <v>42572.0</v>
      </c>
      <c r="B751" s="241">
        <v>0.007715085353970941</v>
      </c>
      <c r="C751" s="241">
        <v>0.009333333333333338</v>
      </c>
      <c r="D751" s="241">
        <v>0.017048418687304286</v>
      </c>
      <c r="E751" s="248">
        <v>0.001067584752937379</v>
      </c>
      <c r="F751" s="247">
        <v>9.827003684552437</v>
      </c>
      <c r="G751" s="246">
        <v>3766.292977751272</v>
      </c>
      <c r="H751" s="247">
        <v>8804.175000000001</v>
      </c>
      <c r="I751" s="247">
        <v>0.0</v>
      </c>
      <c r="J751" s="128">
        <v>53923.062</v>
      </c>
    </row>
    <row r="752">
      <c r="A752" s="245">
        <v>42571.0</v>
      </c>
      <c r="B752" s="241">
        <v>0.00771226932259855</v>
      </c>
      <c r="C752" s="241">
        <v>0.00929166666666667</v>
      </c>
      <c r="D752" s="241">
        <v>0.017003935989265227</v>
      </c>
      <c r="E752" s="248">
        <v>0.001067584752937379</v>
      </c>
      <c r="F752" s="247">
        <v>9.827003684552437</v>
      </c>
      <c r="G752" s="246">
        <v>3756.4659740667194</v>
      </c>
      <c r="H752" s="247">
        <v>8804.175000000001</v>
      </c>
      <c r="I752" s="247">
        <v>0.0</v>
      </c>
      <c r="J752" s="128">
        <v>53805.594000000005</v>
      </c>
    </row>
    <row r="753">
      <c r="A753" s="245">
        <v>42570.0</v>
      </c>
      <c r="B753" s="241">
        <v>0.007709453291226159</v>
      </c>
      <c r="C753" s="241">
        <v>0.009250000000000003</v>
      </c>
      <c r="D753" s="241">
        <v>0.016959453291226168</v>
      </c>
      <c r="E753" s="248">
        <v>0.001067584752937379</v>
      </c>
      <c r="F753" s="247">
        <v>9.827003684552437</v>
      </c>
      <c r="G753" s="246">
        <v>3746.638970382167</v>
      </c>
      <c r="H753" s="247">
        <v>8804.175000000001</v>
      </c>
      <c r="I753" s="247">
        <v>0.0</v>
      </c>
      <c r="J753" s="128">
        <v>54180.028000000006</v>
      </c>
    </row>
    <row r="754">
      <c r="A754" s="245">
        <v>42569.0</v>
      </c>
      <c r="B754" s="241">
        <v>0.007706637259853768</v>
      </c>
      <c r="C754" s="241">
        <v>0.009208333333333336</v>
      </c>
      <c r="D754" s="241">
        <v>0.01691497059318711</v>
      </c>
      <c r="E754" s="248">
        <v>0.001067584752937379</v>
      </c>
      <c r="F754" s="247">
        <v>9.827003684552437</v>
      </c>
      <c r="G754" s="246">
        <v>3736.8119666976145</v>
      </c>
      <c r="H754" s="247">
        <v>8804.175000000001</v>
      </c>
      <c r="I754" s="247">
        <v>0.0</v>
      </c>
      <c r="J754" s="128">
        <v>53744.336</v>
      </c>
    </row>
    <row r="755">
      <c r="A755" s="245">
        <v>42566.0</v>
      </c>
      <c r="B755" s="241">
        <v>0.0077038212284813775</v>
      </c>
      <c r="C755" s="241">
        <v>0.009166666666666668</v>
      </c>
      <c r="D755" s="241">
        <v>0.01687048789514805</v>
      </c>
      <c r="E755" s="248">
        <v>0.001067584752937379</v>
      </c>
      <c r="F755" s="247">
        <v>9.827003684552437</v>
      </c>
      <c r="G755" s="246">
        <v>3726.984963013062</v>
      </c>
      <c r="H755" s="247">
        <v>8804.175000000001</v>
      </c>
      <c r="I755" s="247">
        <v>0.0</v>
      </c>
      <c r="J755" s="128">
        <v>53816.516</v>
      </c>
    </row>
    <row r="756">
      <c r="A756" s="245">
        <v>42565.0</v>
      </c>
      <c r="B756" s="241">
        <v>0.007701005197108987</v>
      </c>
      <c r="C756" s="241">
        <v>0.009125000000000001</v>
      </c>
      <c r="D756" s="241">
        <v>0.01682600519710899</v>
      </c>
      <c r="E756" s="248">
        <v>0.001067584752937379</v>
      </c>
      <c r="F756" s="247">
        <v>9.827003684552437</v>
      </c>
      <c r="G756" s="246">
        <v>3717.1579593285096</v>
      </c>
      <c r="H756" s="247">
        <v>8804.175000000001</v>
      </c>
      <c r="I756" s="247">
        <v>0.0</v>
      </c>
      <c r="J756" s="128">
        <v>53703.329999999994</v>
      </c>
    </row>
    <row r="757">
      <c r="A757" s="245">
        <v>42564.0</v>
      </c>
      <c r="B757" s="241">
        <v>0.007698189165736596</v>
      </c>
      <c r="C757" s="241">
        <v>0.009083333333333334</v>
      </c>
      <c r="D757" s="241">
        <v>0.01678152249906993</v>
      </c>
      <c r="E757" s="248">
        <v>0.001067584752937379</v>
      </c>
      <c r="F757" s="247">
        <v>9.827003684552437</v>
      </c>
      <c r="G757" s="246">
        <v>3707.330955643957</v>
      </c>
      <c r="H757" s="247">
        <v>8804.175000000001</v>
      </c>
      <c r="I757" s="247">
        <v>0.0</v>
      </c>
      <c r="J757" s="128">
        <v>54128.57399999999</v>
      </c>
    </row>
    <row r="758">
      <c r="A758" s="245">
        <v>42563.0</v>
      </c>
      <c r="B758" s="241">
        <v>0.007695373134364205</v>
      </c>
      <c r="C758" s="241">
        <v>0.009041666666666667</v>
      </c>
      <c r="D758" s="241">
        <v>0.016737039801030872</v>
      </c>
      <c r="E758" s="248">
        <v>0.001067584752937379</v>
      </c>
      <c r="F758" s="247">
        <v>9.827003684552437</v>
      </c>
      <c r="G758" s="246">
        <v>3697.5039519594047</v>
      </c>
      <c r="H758" s="247">
        <v>8804.175000000001</v>
      </c>
      <c r="I758" s="247">
        <v>0.0</v>
      </c>
      <c r="J758" s="128">
        <v>54156.83799999999</v>
      </c>
    </row>
    <row r="759">
      <c r="A759" s="245">
        <v>42562.0</v>
      </c>
      <c r="B759" s="28">
        <v>0.007692557102991814</v>
      </c>
      <c r="C759" s="28">
        <v>0.009</v>
      </c>
      <c r="D759" s="173">
        <v>0.016692557102991813</v>
      </c>
      <c r="E759" s="173">
        <v>9.975502328359587E-4</v>
      </c>
      <c r="F759" s="247">
        <v>220.3762416793561</v>
      </c>
      <c r="G759" s="246">
        <v>3687.6769482748523</v>
      </c>
      <c r="H759" s="247">
        <v>8804.175000000001</v>
      </c>
      <c r="I759" s="247">
        <v>0.0</v>
      </c>
      <c r="J759" s="128">
        <v>54825.018</v>
      </c>
    </row>
    <row r="760">
      <c r="A760" s="245">
        <v>42559.0</v>
      </c>
      <c r="B760" s="28">
        <v>0.007695006870155855</v>
      </c>
      <c r="C760" s="28">
        <v>0.008</v>
      </c>
      <c r="D760" s="173">
        <v>0.015695006870155855</v>
      </c>
      <c r="E760" s="173">
        <v>0.0022055736526100465</v>
      </c>
      <c r="F760" s="247">
        <v>32.48331203849284</v>
      </c>
      <c r="G760" s="246">
        <v>3467.300706595496</v>
      </c>
      <c r="H760" s="247">
        <v>8804.175000000001</v>
      </c>
      <c r="I760" s="247">
        <v>0.0</v>
      </c>
      <c r="J760" s="128">
        <v>54729.76</v>
      </c>
    </row>
    <row r="761">
      <c r="A761" s="245">
        <v>42558.0</v>
      </c>
      <c r="B761" s="241">
        <v>0.007614635293315187</v>
      </c>
      <c r="C761" s="241">
        <v>0.007933333333333329</v>
      </c>
      <c r="D761" s="241">
        <v>0.015547968626648515</v>
      </c>
      <c r="E761" s="248">
        <v>0.0022055736526100465</v>
      </c>
      <c r="F761" s="247">
        <v>32.48331203849193</v>
      </c>
      <c r="G761" s="246">
        <v>3434.8173945570034</v>
      </c>
      <c r="H761" s="247">
        <v>8804.175000000001</v>
      </c>
      <c r="I761" s="247">
        <v>0.0</v>
      </c>
      <c r="J761" s="128">
        <v>54520.314</v>
      </c>
    </row>
    <row r="762">
      <c r="A762" s="245">
        <v>42557.0</v>
      </c>
      <c r="B762" s="241">
        <v>0.007534263716474517</v>
      </c>
      <c r="C762" s="241">
        <v>0.007866666666666662</v>
      </c>
      <c r="D762" s="241">
        <v>0.015400930383141179</v>
      </c>
      <c r="E762" s="248">
        <v>0.0022055736526100465</v>
      </c>
      <c r="F762" s="247">
        <v>32.48331203849193</v>
      </c>
      <c r="G762" s="246">
        <v>3402.3340825185114</v>
      </c>
      <c r="H762" s="247">
        <v>8804.175000000001</v>
      </c>
      <c r="I762" s="247">
        <v>0.0</v>
      </c>
      <c r="J762" s="128">
        <v>54794.69</v>
      </c>
    </row>
    <row r="763">
      <c r="A763" s="245">
        <v>42556.0</v>
      </c>
      <c r="B763" s="241">
        <v>0.007453892139633847</v>
      </c>
      <c r="C763" s="241">
        <v>0.007799999999999995</v>
      </c>
      <c r="D763" s="241">
        <v>0.015253892139633842</v>
      </c>
      <c r="E763" s="248">
        <v>0.0022055736526100465</v>
      </c>
      <c r="F763" s="247">
        <v>32.48331203849193</v>
      </c>
      <c r="G763" s="246">
        <v>3369.8507704800195</v>
      </c>
      <c r="H763" s="247">
        <v>8804.175000000001</v>
      </c>
      <c r="I763" s="247">
        <v>0.0</v>
      </c>
      <c r="J763" s="128">
        <v>54238.568</v>
      </c>
    </row>
    <row r="764">
      <c r="A764" s="245">
        <v>42555.0</v>
      </c>
      <c r="B764" s="241">
        <v>0.007373520562793177</v>
      </c>
      <c r="C764" s="241">
        <v>0.007733333333333329</v>
      </c>
      <c r="D764" s="241">
        <v>0.015106853896126506</v>
      </c>
      <c r="E764" s="248">
        <v>0.0022055736526100465</v>
      </c>
      <c r="F764" s="247">
        <v>32.48331203849193</v>
      </c>
      <c r="G764" s="246">
        <v>3337.3674584415276</v>
      </c>
      <c r="H764" s="247">
        <v>8804.175000000001</v>
      </c>
      <c r="I764" s="247">
        <v>0.0</v>
      </c>
      <c r="J764" s="128">
        <v>54061.950000000004</v>
      </c>
    </row>
    <row r="765">
      <c r="A765" s="245">
        <v>42552.0</v>
      </c>
      <c r="B765" s="241">
        <v>0.007293148985952507</v>
      </c>
      <c r="C765" s="241">
        <v>0.007666666666666663</v>
      </c>
      <c r="D765" s="241">
        <v>0.01495981565261917</v>
      </c>
      <c r="E765" s="248">
        <v>0.0022055736526100465</v>
      </c>
      <c r="F765" s="247">
        <v>32.48331203849193</v>
      </c>
      <c r="G765" s="246">
        <v>3304.8841464030356</v>
      </c>
      <c r="H765" s="247">
        <v>8804.175000000001</v>
      </c>
      <c r="I765" s="247">
        <v>0.0</v>
      </c>
      <c r="J765" s="128">
        <v>53684.725999999995</v>
      </c>
    </row>
    <row r="766">
      <c r="A766" s="245">
        <v>42551.0</v>
      </c>
      <c r="B766" s="241">
        <v>0.007212777409111837</v>
      </c>
      <c r="C766" s="241">
        <v>0.0075999999999999965</v>
      </c>
      <c r="D766" s="241">
        <v>0.014812777409111834</v>
      </c>
      <c r="E766" s="248">
        <v>0.0022055736526100465</v>
      </c>
      <c r="F766" s="247">
        <v>32.48331203849193</v>
      </c>
      <c r="G766" s="246">
        <v>3272.4008343645437</v>
      </c>
      <c r="H766" s="247">
        <v>8804.175000000001</v>
      </c>
      <c r="I766" s="247">
        <v>0.0</v>
      </c>
      <c r="J766" s="128">
        <v>53310.256</v>
      </c>
    </row>
    <row r="767">
      <c r="A767" s="245">
        <v>42550.0</v>
      </c>
      <c r="B767" s="241">
        <v>0.007132405832271167</v>
      </c>
      <c r="C767" s="241">
        <v>0.00753333333333333</v>
      </c>
      <c r="D767" s="241">
        <v>0.014665739165604498</v>
      </c>
      <c r="E767" s="248">
        <v>0.0022055736526100465</v>
      </c>
      <c r="F767" s="247">
        <v>32.48331203849193</v>
      </c>
      <c r="G767" s="246">
        <v>3239.9175223260518</v>
      </c>
      <c r="H767" s="247">
        <v>8804.175000000001</v>
      </c>
      <c r="I767" s="247">
        <v>0.0</v>
      </c>
      <c r="J767" s="128">
        <v>53391.778</v>
      </c>
    </row>
    <row r="768">
      <c r="A768" s="245">
        <v>42549.0</v>
      </c>
      <c r="B768" s="241">
        <v>0.0070520342554304975</v>
      </c>
      <c r="C768" s="241">
        <v>0.007466666666666664</v>
      </c>
      <c r="D768" s="241">
        <v>0.014518700922097161</v>
      </c>
      <c r="E768" s="248">
        <v>0.0022055736526100465</v>
      </c>
      <c r="F768" s="247">
        <v>32.48331203849193</v>
      </c>
      <c r="G768" s="246">
        <v>3207.43421028756</v>
      </c>
      <c r="H768" s="247">
        <v>8804.175000000001</v>
      </c>
      <c r="I768" s="247">
        <v>0.0</v>
      </c>
      <c r="J768" s="128">
        <v>53339.966</v>
      </c>
    </row>
    <row r="769">
      <c r="A769" s="245">
        <v>42548.0</v>
      </c>
      <c r="B769" s="241">
        <v>0.0069716626785898276</v>
      </c>
      <c r="C769" s="241">
        <v>0.007399999999999998</v>
      </c>
      <c r="D769" s="241">
        <v>0.014371662678589825</v>
      </c>
      <c r="E769" s="248">
        <v>0.0022055736526100465</v>
      </c>
      <c r="F769" s="247">
        <v>32.48331203849193</v>
      </c>
      <c r="G769" s="246">
        <v>3174.950898249068</v>
      </c>
      <c r="H769" s="247">
        <v>8804.175000000001</v>
      </c>
      <c r="I769" s="247">
        <v>0.0</v>
      </c>
      <c r="J769" s="128">
        <v>53758.185999999994</v>
      </c>
    </row>
    <row r="770">
      <c r="A770" s="245">
        <v>42545.0</v>
      </c>
      <c r="B770" s="241">
        <v>0.006891291101749158</v>
      </c>
      <c r="C770" s="241">
        <v>0.0073333333333333315</v>
      </c>
      <c r="D770" s="241">
        <v>0.014224624435082489</v>
      </c>
      <c r="E770" s="248">
        <v>0.0022055736526100465</v>
      </c>
      <c r="F770" s="247">
        <v>32.48331203849193</v>
      </c>
      <c r="G770" s="246">
        <v>3142.467586210576</v>
      </c>
      <c r="H770" s="247">
        <v>8804.175000000001</v>
      </c>
      <c r="I770" s="247">
        <v>0.0</v>
      </c>
      <c r="J770" s="128">
        <v>53121.61</v>
      </c>
    </row>
    <row r="771">
      <c r="A771" s="245">
        <v>42544.0</v>
      </c>
      <c r="B771" s="241">
        <v>0.006810919524908488</v>
      </c>
      <c r="C771" s="241">
        <v>0.007266666666666665</v>
      </c>
      <c r="D771" s="241">
        <v>0.014077586191575153</v>
      </c>
      <c r="E771" s="248">
        <v>0.0022055736526100465</v>
      </c>
      <c r="F771" s="247">
        <v>32.48331203849193</v>
      </c>
      <c r="G771" s="246">
        <v>3109.984274172084</v>
      </c>
      <c r="H771" s="247">
        <v>8804.175000000001</v>
      </c>
      <c r="I771" s="247">
        <v>0.0</v>
      </c>
      <c r="J771" s="128">
        <v>50542.01</v>
      </c>
    </row>
    <row r="772">
      <c r="A772" s="245">
        <v>42543.0</v>
      </c>
      <c r="B772" s="241">
        <v>0.006730547948067818</v>
      </c>
      <c r="C772" s="241">
        <v>0.007199999999999999</v>
      </c>
      <c r="D772" s="241">
        <v>0.013930547948067817</v>
      </c>
      <c r="E772" s="248">
        <v>0.0022055736526100465</v>
      </c>
      <c r="F772" s="247">
        <v>32.48331203849193</v>
      </c>
      <c r="G772" s="246">
        <v>3077.500962133592</v>
      </c>
      <c r="H772" s="247">
        <v>8804.175000000001</v>
      </c>
      <c r="I772" s="247">
        <v>0.0</v>
      </c>
      <c r="J772" s="128">
        <v>51034.012</v>
      </c>
    </row>
    <row r="773">
      <c r="A773" s="245">
        <v>42542.0</v>
      </c>
      <c r="B773" s="241">
        <v>0.006650176371227148</v>
      </c>
      <c r="C773" s="241">
        <v>0.007133333333333333</v>
      </c>
      <c r="D773" s="241">
        <v>0.01378350970456048</v>
      </c>
      <c r="E773" s="248">
        <v>0.0022055736526100465</v>
      </c>
      <c r="F773" s="247">
        <v>32.48331203849193</v>
      </c>
      <c r="G773" s="246">
        <v>3045.0176500951</v>
      </c>
      <c r="H773" s="247">
        <v>8804.175000000001</v>
      </c>
      <c r="I773" s="247">
        <v>0.0</v>
      </c>
      <c r="J773" s="128">
        <v>51151.28999999999</v>
      </c>
    </row>
    <row r="774">
      <c r="A774" s="245">
        <v>42541.0</v>
      </c>
      <c r="B774" s="241">
        <v>0.006569804794386478</v>
      </c>
      <c r="C774" s="241">
        <v>0.007066666666666666</v>
      </c>
      <c r="D774" s="241">
        <v>0.013636471461053144</v>
      </c>
      <c r="E774" s="248">
        <v>0.0022055736526100465</v>
      </c>
      <c r="F774" s="247">
        <v>32.48331203849193</v>
      </c>
      <c r="G774" s="246">
        <v>3012.5343380566082</v>
      </c>
      <c r="H774" s="247">
        <v>8804.175000000001</v>
      </c>
      <c r="I774" s="247">
        <v>0.0</v>
      </c>
      <c r="J774" s="128">
        <v>51342.759999999995</v>
      </c>
    </row>
    <row r="775">
      <c r="A775" s="245">
        <v>42538.0</v>
      </c>
      <c r="B775" s="241">
        <v>0.006489433217545808</v>
      </c>
      <c r="C775" s="241">
        <v>0.007</v>
      </c>
      <c r="D775" s="241">
        <v>0.013489433217545808</v>
      </c>
      <c r="E775" s="241">
        <v>0.0010680170647898567</v>
      </c>
      <c r="F775" s="247">
        <v>78.64786455203694</v>
      </c>
      <c r="G775" s="246">
        <v>2980.0510260181163</v>
      </c>
      <c r="H775" s="138">
        <v>8804.175000000001</v>
      </c>
      <c r="I775" s="247">
        <v>0.0</v>
      </c>
      <c r="J775" s="128">
        <v>51693.793999999994</v>
      </c>
    </row>
    <row r="776">
      <c r="A776" s="245">
        <v>42537.0</v>
      </c>
      <c r="B776" s="241">
        <v>0.0064667608626158566</v>
      </c>
      <c r="C776" s="241">
        <v>0.006666666666666666</v>
      </c>
      <c r="D776" s="241">
        <v>0.013133427529282524</v>
      </c>
      <c r="E776" s="248">
        <v>0.0010680170647898567</v>
      </c>
      <c r="F776" s="247">
        <v>78.64786455203694</v>
      </c>
      <c r="G776" s="246">
        <v>2901.4031614660794</v>
      </c>
      <c r="H776" s="247">
        <v>8804.175000000001</v>
      </c>
      <c r="I776" s="247">
        <v>0.0</v>
      </c>
      <c r="J776" s="128">
        <v>52688.898</v>
      </c>
    </row>
    <row r="777">
      <c r="A777" s="245">
        <v>42536.0</v>
      </c>
      <c r="B777" s="241">
        <v>0.006444088507685904</v>
      </c>
      <c r="C777" s="241">
        <v>0.006333333333333333</v>
      </c>
      <c r="D777" s="241">
        <v>0.012777421841019238</v>
      </c>
      <c r="E777" s="248">
        <v>0.0010680170647898567</v>
      </c>
      <c r="F777" s="247">
        <v>78.64786455203694</v>
      </c>
      <c r="G777" s="246">
        <v>2822.7552969140424</v>
      </c>
      <c r="H777" s="247">
        <v>8804.175000000001</v>
      </c>
      <c r="I777" s="247">
        <v>0.0</v>
      </c>
      <c r="J777" s="128">
        <v>51710.09</v>
      </c>
    </row>
    <row r="778">
      <c r="A778" s="245">
        <v>42535.0</v>
      </c>
      <c r="B778" s="173">
        <v>0.006421416152755952</v>
      </c>
      <c r="C778" s="173">
        <v>0.006</v>
      </c>
      <c r="D778" s="173">
        <v>0.012421416152755951</v>
      </c>
      <c r="E778" s="173">
        <v>-0.00599941709951891</v>
      </c>
      <c r="F778" s="247">
        <v>-18.93394078439087</v>
      </c>
      <c r="G778" s="246">
        <v>2744.1074323620055</v>
      </c>
      <c r="H778" s="247">
        <v>8804.175000000001</v>
      </c>
      <c r="I778" s="247">
        <v>0.0</v>
      </c>
      <c r="J778" s="128">
        <v>51766.324</v>
      </c>
    </row>
    <row r="779">
      <c r="A779" s="245">
        <v>42534.0</v>
      </c>
      <c r="B779" s="241">
        <v>0.006521407825606176</v>
      </c>
      <c r="C779" s="241">
        <v>0.005985714285714271</v>
      </c>
      <c r="D779" s="241">
        <v>0.012507122111320497</v>
      </c>
      <c r="E779" s="248">
        <v>-0.00599941709951891</v>
      </c>
      <c r="F779" s="247">
        <v>-18.93394078440315</v>
      </c>
      <c r="G779" s="246">
        <v>2763.0413731463964</v>
      </c>
      <c r="H779" s="247">
        <v>7746.785000000001</v>
      </c>
      <c r="I779" s="247">
        <v>0.0</v>
      </c>
      <c r="J779" s="128">
        <v>51434.768</v>
      </c>
    </row>
    <row r="780">
      <c r="A780" s="245">
        <v>42531.0</v>
      </c>
      <c r="B780" s="241">
        <v>0.006621399498456446</v>
      </c>
      <c r="C780" s="241">
        <v>0.005971428571428557</v>
      </c>
      <c r="D780" s="241">
        <v>0.012592828069885053</v>
      </c>
      <c r="E780" s="248">
        <v>-0.00599941709951891</v>
      </c>
      <c r="F780" s="247">
        <v>-18.93394078440315</v>
      </c>
      <c r="G780" s="246">
        <v>2781.9753139307995</v>
      </c>
      <c r="H780" s="247">
        <v>7746.785000000001</v>
      </c>
      <c r="I780" s="247">
        <v>0.0</v>
      </c>
      <c r="J780" s="128">
        <v>51159.312000000005</v>
      </c>
    </row>
    <row r="781">
      <c r="A781" s="245">
        <v>42530.0</v>
      </c>
      <c r="B781" s="241">
        <v>0.006721391171306716</v>
      </c>
      <c r="C781" s="241">
        <v>0.005957142857142843</v>
      </c>
      <c r="D781" s="241">
        <v>0.012678534028449609</v>
      </c>
      <c r="E781" s="248">
        <v>-0.00599941709951891</v>
      </c>
      <c r="F781" s="247">
        <v>-18.93394078440315</v>
      </c>
      <c r="G781" s="246">
        <v>2800.9092547152027</v>
      </c>
      <c r="H781" s="247">
        <v>7746.785000000001</v>
      </c>
      <c r="I781" s="247">
        <v>0.0</v>
      </c>
      <c r="J781" s="128">
        <v>50954.904</v>
      </c>
    </row>
    <row r="782">
      <c r="A782" s="245">
        <v>42529.0</v>
      </c>
      <c r="B782" s="241">
        <v>0.0068213828441569865</v>
      </c>
      <c r="C782" s="241">
        <v>0.005942857142857129</v>
      </c>
      <c r="D782" s="241">
        <v>0.012764239987014165</v>
      </c>
      <c r="E782" s="248">
        <v>-0.00599941709951891</v>
      </c>
      <c r="F782" s="247">
        <v>-18.93394078440315</v>
      </c>
      <c r="G782" s="246">
        <v>2819.843195499606</v>
      </c>
      <c r="H782" s="247">
        <v>7746.785000000001</v>
      </c>
      <c r="I782" s="247">
        <v>0.0</v>
      </c>
      <c r="J782" s="128">
        <v>50383.174</v>
      </c>
    </row>
    <row r="783">
      <c r="A783" s="245">
        <v>42528.0</v>
      </c>
      <c r="B783" s="241">
        <v>0.0069213745170072566</v>
      </c>
      <c r="C783" s="241">
        <v>0.005928571428571415</v>
      </c>
      <c r="D783" s="241">
        <v>0.012849945945578721</v>
      </c>
      <c r="E783" s="248">
        <v>-0.00599941709951891</v>
      </c>
      <c r="F783" s="247">
        <v>-18.93394078440315</v>
      </c>
      <c r="G783" s="246">
        <v>2838.777136284009</v>
      </c>
      <c r="H783" s="247">
        <v>7746.785000000001</v>
      </c>
      <c r="I783" s="247">
        <v>0.0</v>
      </c>
      <c r="J783" s="128">
        <v>50091.904</v>
      </c>
    </row>
    <row r="784">
      <c r="A784" s="245">
        <v>42527.0</v>
      </c>
      <c r="B784" s="241">
        <v>0.007021366189857527</v>
      </c>
      <c r="C784" s="241">
        <v>0.005914285714285701</v>
      </c>
      <c r="D784" s="241">
        <v>0.012935651904143277</v>
      </c>
      <c r="E784" s="248">
        <v>-0.00599941709951891</v>
      </c>
      <c r="F784" s="247">
        <v>-18.93394078440315</v>
      </c>
      <c r="G784" s="246">
        <v>2857.711077068412</v>
      </c>
      <c r="H784" s="247">
        <v>7746.785000000001</v>
      </c>
      <c r="I784" s="247">
        <v>0.0</v>
      </c>
      <c r="J784" s="128">
        <v>50136.848000000005</v>
      </c>
    </row>
    <row r="785">
      <c r="A785" s="245">
        <v>42524.0</v>
      </c>
      <c r="B785" s="241">
        <v>0.007121357862707797</v>
      </c>
      <c r="C785" s="241">
        <v>0.005899999999999987</v>
      </c>
      <c r="D785" s="241">
        <v>0.013021357862707833</v>
      </c>
      <c r="E785" s="248">
        <v>-0.00599941709951891</v>
      </c>
      <c r="F785" s="247">
        <v>-18.93394078440315</v>
      </c>
      <c r="G785" s="246">
        <v>2876.6450178528153</v>
      </c>
      <c r="H785" s="247">
        <v>7746.785000000001</v>
      </c>
      <c r="I785" s="247">
        <v>0.0</v>
      </c>
      <c r="J785" s="128">
        <v>50046.496</v>
      </c>
    </row>
    <row r="786">
      <c r="A786" s="245">
        <v>42523.0</v>
      </c>
      <c r="B786" s="241">
        <v>0.007221349535558067</v>
      </c>
      <c r="C786" s="241">
        <v>0.005885714285714273</v>
      </c>
      <c r="D786" s="241">
        <v>0.013107063821272389</v>
      </c>
      <c r="E786" s="248">
        <v>-0.00599941709951891</v>
      </c>
      <c r="F786" s="247">
        <v>-18.93394078440315</v>
      </c>
      <c r="G786" s="246">
        <v>2895.5789586372184</v>
      </c>
      <c r="H786" s="247">
        <v>7746.785000000001</v>
      </c>
      <c r="I786" s="247">
        <v>0.0</v>
      </c>
      <c r="J786" s="128">
        <v>49982.798</v>
      </c>
    </row>
    <row r="787">
      <c r="A787" s="245">
        <v>42522.0</v>
      </c>
      <c r="B787" s="241">
        <v>0.007321341208408337</v>
      </c>
      <c r="C787" s="241">
        <v>0.005871428571428559</v>
      </c>
      <c r="D787" s="241">
        <v>0.013192769779836945</v>
      </c>
      <c r="E787" s="248">
        <v>-0.00599941709951891</v>
      </c>
      <c r="F787" s="247">
        <v>-18.93394078440315</v>
      </c>
      <c r="G787" s="246">
        <v>2914.5128994216216</v>
      </c>
      <c r="H787" s="247">
        <v>7746.785000000001</v>
      </c>
      <c r="I787" s="247">
        <v>0.0</v>
      </c>
      <c r="J787" s="128">
        <v>49851.244</v>
      </c>
    </row>
    <row r="788">
      <c r="A788" s="245">
        <v>42521.0</v>
      </c>
      <c r="B788" s="241">
        <v>0.007421332881258607</v>
      </c>
      <c r="C788" s="241">
        <v>0.005857142857142845</v>
      </c>
      <c r="D788" s="241">
        <v>0.013278475738401501</v>
      </c>
      <c r="E788" s="248">
        <v>-0.00599941709951891</v>
      </c>
      <c r="F788" s="247">
        <v>-18.93394078440315</v>
      </c>
      <c r="G788" s="246">
        <v>2933.4468402060247</v>
      </c>
      <c r="H788" s="247">
        <v>7746.785000000001</v>
      </c>
      <c r="I788" s="247">
        <v>0.0</v>
      </c>
      <c r="J788" s="128">
        <v>50109.92600000001</v>
      </c>
    </row>
    <row r="789">
      <c r="A789" s="245">
        <v>42520.0</v>
      </c>
      <c r="B789" s="241">
        <v>0.007521324554108877</v>
      </c>
      <c r="C789" s="241">
        <v>0.0058428571428571306</v>
      </c>
      <c r="D789" s="241">
        <v>0.013364181696966057</v>
      </c>
      <c r="E789" s="248">
        <v>-0.00599941709951891</v>
      </c>
      <c r="F789" s="247">
        <v>-18.93394078440315</v>
      </c>
      <c r="G789" s="246">
        <v>2952.380780990428</v>
      </c>
      <c r="H789" s="247">
        <v>7746.785000000001</v>
      </c>
      <c r="I789" s="247">
        <v>0.0</v>
      </c>
      <c r="J789" s="128">
        <v>49921.164000000004</v>
      </c>
    </row>
    <row r="790">
      <c r="A790" s="245">
        <v>42517.0</v>
      </c>
      <c r="B790" s="241">
        <v>0.007621316226959147</v>
      </c>
      <c r="C790" s="241">
        <v>0.0058285714285714165</v>
      </c>
      <c r="D790" s="241">
        <v>0.013449887655530613</v>
      </c>
      <c r="E790" s="248">
        <v>-0.00599941709951891</v>
      </c>
      <c r="F790" s="247">
        <v>-18.93394078440315</v>
      </c>
      <c r="G790" s="246">
        <v>2971.314721774831</v>
      </c>
      <c r="H790" s="247">
        <v>7746.785000000001</v>
      </c>
      <c r="I790" s="247">
        <v>0.0</v>
      </c>
      <c r="J790" s="128">
        <v>50135.638000000006</v>
      </c>
    </row>
    <row r="791">
      <c r="A791" s="245">
        <v>42516.0</v>
      </c>
      <c r="B791" s="241">
        <v>0.007721307899809417</v>
      </c>
      <c r="C791" s="241">
        <v>0.005814285714285702</v>
      </c>
      <c r="D791" s="241">
        <v>0.013535593614095169</v>
      </c>
      <c r="E791" s="248">
        <v>-0.00599941709951891</v>
      </c>
      <c r="F791" s="247">
        <v>-18.93394078440315</v>
      </c>
      <c r="G791" s="246">
        <v>2990.248662559234</v>
      </c>
      <c r="H791" s="247">
        <v>7746.785000000001</v>
      </c>
      <c r="I791" s="247">
        <v>0.0</v>
      </c>
      <c r="J791" s="128">
        <v>50069.712</v>
      </c>
    </row>
    <row r="792">
      <c r="A792" s="245">
        <v>42515.0</v>
      </c>
      <c r="B792" s="241">
        <v>0.007821299572659687</v>
      </c>
      <c r="C792" s="241">
        <v>0.005799999999999988</v>
      </c>
      <c r="D792" s="241">
        <v>0.013621299572659725</v>
      </c>
      <c r="E792" s="248">
        <v>-0.00599941709951891</v>
      </c>
      <c r="F792" s="247">
        <v>-18.93394078440315</v>
      </c>
      <c r="G792" s="246">
        <v>3009.1826033436373</v>
      </c>
      <c r="H792" s="247">
        <v>7746.785000000001</v>
      </c>
      <c r="I792" s="247">
        <v>0.0</v>
      </c>
      <c r="J792" s="128">
        <v>50193.792</v>
      </c>
    </row>
    <row r="793">
      <c r="A793" s="245">
        <v>42514.0</v>
      </c>
      <c r="B793" s="241">
        <v>0.007921291245509958</v>
      </c>
      <c r="C793" s="241">
        <v>0.005785714285714274</v>
      </c>
      <c r="D793" s="241">
        <v>0.013707005531224281</v>
      </c>
      <c r="E793" s="248">
        <v>-0.00599941709951891</v>
      </c>
      <c r="F793" s="247">
        <v>-18.93394078440315</v>
      </c>
      <c r="G793" s="246">
        <v>3028.1165441280405</v>
      </c>
      <c r="H793" s="247">
        <v>7746.785000000001</v>
      </c>
      <c r="I793" s="247">
        <v>0.0</v>
      </c>
      <c r="J793" s="128">
        <v>50388.130000000005</v>
      </c>
    </row>
    <row r="794">
      <c r="A794" s="245">
        <v>42513.0</v>
      </c>
      <c r="B794" s="241">
        <v>0.00802128291836023</v>
      </c>
      <c r="C794" s="241">
        <v>0.00577142857142856</v>
      </c>
      <c r="D794" s="241">
        <v>0.013792711489788837</v>
      </c>
      <c r="E794" s="248">
        <v>-0.00599941709951891</v>
      </c>
      <c r="F794" s="247">
        <v>-18.93394078440315</v>
      </c>
      <c r="G794" s="246">
        <v>3047.0504849124436</v>
      </c>
      <c r="H794" s="247">
        <v>7746.785000000001</v>
      </c>
      <c r="I794" s="247">
        <v>0.0</v>
      </c>
      <c r="J794" s="128">
        <v>50517.074</v>
      </c>
    </row>
    <row r="795">
      <c r="A795" s="245">
        <v>42510.0</v>
      </c>
      <c r="B795" s="241">
        <v>0.0081212745912105</v>
      </c>
      <c r="C795" s="241">
        <v>0.005757142857142846</v>
      </c>
      <c r="D795" s="241">
        <v>0.013878417448353393</v>
      </c>
      <c r="E795" s="248">
        <v>-0.00599941709951891</v>
      </c>
      <c r="F795" s="247">
        <v>-18.93394078440315</v>
      </c>
      <c r="G795" s="246">
        <v>3065.9844256968468</v>
      </c>
      <c r="H795" s="247">
        <v>7746.785000000001</v>
      </c>
      <c r="I795" s="247">
        <v>0.0</v>
      </c>
      <c r="J795" s="128">
        <v>50585.142</v>
      </c>
    </row>
    <row r="796">
      <c r="A796" s="245">
        <v>42509.0</v>
      </c>
      <c r="B796" s="241">
        <v>0.008221266264060771</v>
      </c>
      <c r="C796" s="241">
        <v>0.005742857142857132</v>
      </c>
      <c r="D796" s="241">
        <v>0.01396412340691795</v>
      </c>
      <c r="E796" s="248">
        <v>-0.00599941709951891</v>
      </c>
      <c r="F796" s="247">
        <v>-18.93394078440315</v>
      </c>
      <c r="G796" s="246">
        <v>3084.91836648125</v>
      </c>
      <c r="H796" s="247">
        <v>7746.785000000001</v>
      </c>
      <c r="I796" s="247">
        <v>0.0</v>
      </c>
      <c r="J796" s="128">
        <v>50528.774</v>
      </c>
    </row>
    <row r="797">
      <c r="A797" s="245">
        <v>42508.0</v>
      </c>
      <c r="B797" s="241">
        <v>0.008321257936911042</v>
      </c>
      <c r="C797" s="241">
        <v>0.005728571428571418</v>
      </c>
      <c r="D797" s="241">
        <v>0.014049829365482505</v>
      </c>
      <c r="E797" s="248">
        <v>-0.00599941709951891</v>
      </c>
      <c r="F797" s="247">
        <v>-18.93394078440315</v>
      </c>
      <c r="G797" s="246">
        <v>3103.852307265653</v>
      </c>
      <c r="H797" s="247">
        <v>7746.785000000001</v>
      </c>
      <c r="I797" s="247">
        <v>0.0</v>
      </c>
      <c r="J797" s="128">
        <v>50863.511999999995</v>
      </c>
    </row>
    <row r="798">
      <c r="A798" s="245">
        <v>42507.0</v>
      </c>
      <c r="B798" s="241">
        <v>0.008421249609761313</v>
      </c>
      <c r="C798" s="241">
        <v>0.005714285714285704</v>
      </c>
      <c r="D798" s="241">
        <v>0.014135535324047061</v>
      </c>
      <c r="E798" s="248">
        <v>-0.00599941709951891</v>
      </c>
      <c r="F798" s="247">
        <v>-18.93394078440315</v>
      </c>
      <c r="G798" s="246">
        <v>3122.786248050056</v>
      </c>
      <c r="H798" s="247">
        <v>7746.785000000001</v>
      </c>
      <c r="I798" s="247">
        <v>0.0</v>
      </c>
      <c r="J798" s="128">
        <v>50875.598000000005</v>
      </c>
    </row>
    <row r="799">
      <c r="A799" s="245">
        <v>42506.0</v>
      </c>
      <c r="B799" s="241">
        <v>0.008521241282611584</v>
      </c>
      <c r="C799" s="241">
        <v>0.00569999999999999</v>
      </c>
      <c r="D799" s="241">
        <v>0.014221241282611617</v>
      </c>
      <c r="E799" s="248">
        <v>-0.00599941709951891</v>
      </c>
      <c r="F799" s="247">
        <v>-18.93394078440315</v>
      </c>
      <c r="G799" s="246">
        <v>3141.7201888344593</v>
      </c>
      <c r="H799" s="247">
        <v>7746.785000000001</v>
      </c>
      <c r="I799" s="247">
        <v>0.0</v>
      </c>
      <c r="J799" s="128">
        <v>50789.072</v>
      </c>
    </row>
    <row r="800">
      <c r="A800" s="245">
        <v>42503.0</v>
      </c>
      <c r="B800" s="241">
        <v>0.008621232955461855</v>
      </c>
      <c r="C800" s="241">
        <v>0.005685714285714276</v>
      </c>
      <c r="D800" s="241">
        <v>0.014306947241176173</v>
      </c>
      <c r="E800" s="248">
        <v>-0.00599941709951891</v>
      </c>
      <c r="F800" s="247">
        <v>-18.93394078440315</v>
      </c>
      <c r="G800" s="246">
        <v>3160.6541296188625</v>
      </c>
      <c r="H800" s="247">
        <v>7746.785000000001</v>
      </c>
      <c r="I800" s="247">
        <v>0.0</v>
      </c>
      <c r="J800" s="128">
        <v>50842.28599999999</v>
      </c>
    </row>
    <row r="801">
      <c r="A801" s="245">
        <v>42502.0</v>
      </c>
      <c r="B801" s="241">
        <v>0.008721224628312126</v>
      </c>
      <c r="C801" s="241">
        <v>0.005671428571428562</v>
      </c>
      <c r="D801" s="241">
        <v>0.01439265319974073</v>
      </c>
      <c r="E801" s="248">
        <v>-0.00599941709951891</v>
      </c>
      <c r="F801" s="247">
        <v>-18.93394078440315</v>
      </c>
      <c r="G801" s="246">
        <v>3179.5880704032656</v>
      </c>
      <c r="H801" s="247">
        <v>7746.785000000001</v>
      </c>
      <c r="I801" s="247">
        <v>0.0</v>
      </c>
      <c r="J801" s="128">
        <v>50304.136</v>
      </c>
    </row>
    <row r="802">
      <c r="A802" s="245">
        <v>42501.0</v>
      </c>
      <c r="B802" s="241">
        <v>0.008821216301162397</v>
      </c>
      <c r="C802" s="241">
        <v>0.005657142857142848</v>
      </c>
      <c r="D802" s="241">
        <v>0.014478359158305285</v>
      </c>
      <c r="E802" s="248">
        <v>-0.00599941709951891</v>
      </c>
      <c r="F802" s="247">
        <v>-18.93394078440315</v>
      </c>
      <c r="G802" s="246">
        <v>3198.522011187669</v>
      </c>
      <c r="H802" s="247">
        <v>7746.785000000001</v>
      </c>
      <c r="I802" s="247">
        <v>0.0</v>
      </c>
      <c r="J802" s="128">
        <v>50383.818</v>
      </c>
    </row>
    <row r="803">
      <c r="A803" s="245">
        <v>42500.0</v>
      </c>
      <c r="B803" s="241">
        <v>0.008921207974012668</v>
      </c>
      <c r="C803" s="241">
        <v>0.0056428571428571335</v>
      </c>
      <c r="D803" s="241">
        <v>0.014564065116869841</v>
      </c>
      <c r="E803" s="248">
        <v>-0.00599941709951891</v>
      </c>
      <c r="F803" s="247">
        <v>-18.93394078440315</v>
      </c>
      <c r="G803" s="246">
        <v>3217.455951972072</v>
      </c>
      <c r="H803" s="247">
        <v>7746.785000000001</v>
      </c>
      <c r="I803" s="247">
        <v>0.0</v>
      </c>
      <c r="J803" s="128">
        <v>50213.541999999994</v>
      </c>
    </row>
    <row r="804">
      <c r="A804" s="245">
        <v>42499.0</v>
      </c>
      <c r="B804" s="241">
        <v>0.009021199646862939</v>
      </c>
      <c r="C804" s="241">
        <v>0.005628571428571419</v>
      </c>
      <c r="D804" s="241">
        <v>0.014649771075434397</v>
      </c>
      <c r="E804" s="248">
        <v>-0.00599941709951891</v>
      </c>
      <c r="F804" s="247">
        <v>-18.93394078440315</v>
      </c>
      <c r="G804" s="246">
        <v>3236.389892756475</v>
      </c>
      <c r="H804" s="247">
        <v>7746.785000000001</v>
      </c>
      <c r="I804" s="247">
        <v>0.0</v>
      </c>
      <c r="J804" s="128">
        <v>50237.89600000001</v>
      </c>
    </row>
    <row r="805">
      <c r="A805" s="245">
        <v>42496.0</v>
      </c>
      <c r="B805" s="241">
        <v>0.00912119131971321</v>
      </c>
      <c r="C805" s="241">
        <v>0.005614285714285705</v>
      </c>
      <c r="D805" s="241">
        <v>0.014735477033998953</v>
      </c>
      <c r="E805" s="248">
        <v>-0.00599941709951891</v>
      </c>
      <c r="F805" s="247">
        <v>-18.93394078440315</v>
      </c>
      <c r="G805" s="246">
        <v>3255.3238335408782</v>
      </c>
      <c r="H805" s="247">
        <v>7746.785000000001</v>
      </c>
      <c r="I805" s="247">
        <v>0.0</v>
      </c>
      <c r="J805" s="128">
        <v>50837.758</v>
      </c>
    </row>
    <row r="806">
      <c r="A806" s="245">
        <v>42495.0</v>
      </c>
      <c r="B806" s="241">
        <v>0.00922118299256348</v>
      </c>
      <c r="C806" s="241">
        <v>0.005599999999999991</v>
      </c>
      <c r="D806" s="241">
        <v>0.01482118299256351</v>
      </c>
      <c r="E806" s="248">
        <v>-0.00599941709951891</v>
      </c>
      <c r="F806" s="247">
        <v>-18.93394078440315</v>
      </c>
      <c r="G806" s="246">
        <v>3274.2577743252814</v>
      </c>
      <c r="H806" s="247">
        <v>7746.785000000001</v>
      </c>
      <c r="I806" s="247">
        <v>0.0</v>
      </c>
      <c r="J806" s="128">
        <v>50492.12</v>
      </c>
    </row>
    <row r="807">
      <c r="A807" s="245">
        <v>42494.0</v>
      </c>
      <c r="B807" s="241">
        <v>0.009321174665413752</v>
      </c>
      <c r="C807" s="241">
        <v>0.005585714285714277</v>
      </c>
      <c r="D807" s="241">
        <v>0.014906888951128065</v>
      </c>
      <c r="E807" s="248">
        <v>-0.00599941709951891</v>
      </c>
      <c r="F807" s="247">
        <v>-18.93394078440315</v>
      </c>
      <c r="G807" s="246">
        <v>3293.1917151096845</v>
      </c>
      <c r="H807" s="247">
        <v>7746.785000000001</v>
      </c>
      <c r="I807" s="247">
        <v>0.0</v>
      </c>
      <c r="J807" s="128">
        <v>50162.060000000005</v>
      </c>
    </row>
    <row r="808">
      <c r="A808" s="245">
        <v>42493.0</v>
      </c>
      <c r="B808" s="241">
        <v>0.009421166338264023</v>
      </c>
      <c r="C808" s="241">
        <v>0.005571428571428563</v>
      </c>
      <c r="D808" s="241">
        <v>0.014992594909692621</v>
      </c>
      <c r="E808" s="248">
        <v>-0.00599941709951891</v>
      </c>
      <c r="F808" s="247">
        <v>-18.93394078440315</v>
      </c>
      <c r="G808" s="246">
        <v>3312.1256558940877</v>
      </c>
      <c r="H808" s="247">
        <v>7746.785000000001</v>
      </c>
      <c r="I808" s="247">
        <v>0.0</v>
      </c>
      <c r="J808" s="128">
        <v>50285.693999999996</v>
      </c>
    </row>
    <row r="809">
      <c r="A809" s="245">
        <v>42492.0</v>
      </c>
      <c r="B809" s="241">
        <v>0.009521158011114294</v>
      </c>
      <c r="C809" s="241">
        <v>0.005557142857142849</v>
      </c>
      <c r="D809" s="241">
        <v>0.015078300868257177</v>
      </c>
      <c r="E809" s="248">
        <v>-0.00599941709951891</v>
      </c>
      <c r="F809" s="247">
        <v>-18.93394078440315</v>
      </c>
      <c r="G809" s="246">
        <v>3331.059596678491</v>
      </c>
      <c r="H809" s="247">
        <v>7746.785000000001</v>
      </c>
      <c r="I809" s="247">
        <v>0.0</v>
      </c>
      <c r="J809" s="128">
        <v>50527.509999999995</v>
      </c>
    </row>
    <row r="810">
      <c r="A810" s="245">
        <v>42489.0</v>
      </c>
      <c r="B810" s="241">
        <v>0.009621149683964565</v>
      </c>
      <c r="C810" s="241">
        <v>0.005542857142857135</v>
      </c>
      <c r="D810" s="241">
        <v>0.015164006826821733</v>
      </c>
      <c r="E810" s="248">
        <v>-0.00599941709951891</v>
      </c>
      <c r="F810" s="247">
        <v>-18.93394078440315</v>
      </c>
      <c r="G810" s="246">
        <v>3349.993537462894</v>
      </c>
      <c r="H810" s="247">
        <v>7746.785000000001</v>
      </c>
      <c r="I810" s="247">
        <v>0.0</v>
      </c>
      <c r="J810" s="128">
        <v>50708.252</v>
      </c>
    </row>
    <row r="811">
      <c r="A811" s="245">
        <v>42488.0</v>
      </c>
      <c r="B811" s="241">
        <v>0.009721141356814835</v>
      </c>
      <c r="C811" s="241">
        <v>0.005528571428571421</v>
      </c>
      <c r="D811" s="241">
        <v>0.01524971278538629</v>
      </c>
      <c r="E811" s="248">
        <v>-0.00599941709951891</v>
      </c>
      <c r="F811" s="247">
        <v>-18.93394078440315</v>
      </c>
      <c r="G811" s="246">
        <v>3368.927478247297</v>
      </c>
      <c r="H811" s="247">
        <v>7746.785000000001</v>
      </c>
      <c r="I811" s="247">
        <v>0.0</v>
      </c>
      <c r="J811" s="128">
        <v>50588.401999999995</v>
      </c>
    </row>
    <row r="812">
      <c r="A812" s="245">
        <v>42487.0</v>
      </c>
      <c r="B812" s="241">
        <v>0.009821133029665106</v>
      </c>
      <c r="C812" s="241">
        <v>0.005514285714285707</v>
      </c>
      <c r="D812" s="241">
        <v>0.015335418743950845</v>
      </c>
      <c r="E812" s="248">
        <v>-0.00599941709951891</v>
      </c>
      <c r="F812" s="247">
        <v>-18.93394078440315</v>
      </c>
      <c r="G812" s="246">
        <v>3387.8614190317003</v>
      </c>
      <c r="H812" s="247">
        <v>7746.785000000001</v>
      </c>
      <c r="I812" s="247">
        <v>0.0</v>
      </c>
      <c r="J812" s="128">
        <v>50170.772</v>
      </c>
    </row>
    <row r="813">
      <c r="A813" s="245">
        <v>42486.0</v>
      </c>
      <c r="B813" s="241">
        <v>0.009921124702515377</v>
      </c>
      <c r="C813" s="241">
        <v>0.005499999999999993</v>
      </c>
      <c r="D813" s="241">
        <v>0.015421124702515401</v>
      </c>
      <c r="E813" s="248">
        <v>-0.00599941709951891</v>
      </c>
      <c r="F813" s="247">
        <v>-18.93394078440315</v>
      </c>
      <c r="G813" s="246">
        <v>3406.7953598161034</v>
      </c>
      <c r="H813" s="247">
        <v>7746.785000000001</v>
      </c>
      <c r="I813" s="247">
        <v>0.0</v>
      </c>
      <c r="J813" s="128">
        <v>49981.100000000006</v>
      </c>
    </row>
    <row r="814">
      <c r="A814" s="245">
        <v>42485.0</v>
      </c>
      <c r="B814" s="241">
        <v>0.010021116375365648</v>
      </c>
      <c r="C814" s="241">
        <v>0.005485714285714279</v>
      </c>
      <c r="D814" s="241">
        <v>0.015506830661079957</v>
      </c>
      <c r="E814" s="248">
        <v>-0.00599941709951891</v>
      </c>
      <c r="F814" s="247">
        <v>-18.93394078440315</v>
      </c>
      <c r="G814" s="246">
        <v>3425.7293006005066</v>
      </c>
      <c r="H814" s="247">
        <v>7746.785000000001</v>
      </c>
      <c r="I814" s="247">
        <v>0.0</v>
      </c>
      <c r="J814" s="128">
        <v>50139.824</v>
      </c>
    </row>
    <row r="815">
      <c r="A815" s="245">
        <v>42482.0</v>
      </c>
      <c r="B815" s="241">
        <v>0.01012110804821592</v>
      </c>
      <c r="C815" s="241">
        <v>0.005471428571428565</v>
      </c>
      <c r="D815" s="241">
        <v>0.015592536619644513</v>
      </c>
      <c r="E815" s="248">
        <v>-0.00599941709951891</v>
      </c>
      <c r="F815" s="247">
        <v>-18.93394078440315</v>
      </c>
      <c r="G815" s="246">
        <v>3444.6632413849097</v>
      </c>
      <c r="H815" s="247">
        <v>7746.785000000001</v>
      </c>
      <c r="I815" s="247">
        <v>0.0</v>
      </c>
      <c r="J815" s="128">
        <v>50271.19</v>
      </c>
    </row>
    <row r="816">
      <c r="A816" s="245">
        <v>42481.0</v>
      </c>
      <c r="B816" s="241">
        <v>0.01022109972106619</v>
      </c>
      <c r="C816" s="241">
        <v>0.0054571428571428505</v>
      </c>
      <c r="D816" s="241">
        <v>0.01567824257820907</v>
      </c>
      <c r="E816" s="248">
        <v>-0.00599941709951891</v>
      </c>
      <c r="F816" s="247">
        <v>-18.93394078440315</v>
      </c>
      <c r="G816" s="246">
        <v>3463.597182169313</v>
      </c>
      <c r="H816" s="247">
        <v>7746.785000000001</v>
      </c>
      <c r="I816" s="247">
        <v>0.0</v>
      </c>
      <c r="J816" s="128">
        <v>50354.096000000005</v>
      </c>
    </row>
    <row r="817">
      <c r="A817" s="245">
        <v>42480.0</v>
      </c>
      <c r="B817" s="241">
        <v>0.010321091393916461</v>
      </c>
      <c r="C817" s="241">
        <v>0.0054428571428571364</v>
      </c>
      <c r="D817" s="241">
        <v>0.015763948536773625</v>
      </c>
      <c r="E817" s="248">
        <v>-0.00599941709951891</v>
      </c>
      <c r="F817" s="247">
        <v>-18.93394078440315</v>
      </c>
      <c r="G817" s="246">
        <v>3482.531122953716</v>
      </c>
      <c r="H817" s="247">
        <v>7746.785000000001</v>
      </c>
      <c r="I817" s="247">
        <v>0.0</v>
      </c>
      <c r="J817" s="128">
        <v>50368.78</v>
      </c>
    </row>
    <row r="818">
      <c r="A818" s="245">
        <v>42479.0</v>
      </c>
      <c r="B818" s="241">
        <v>0.010421083066766732</v>
      </c>
      <c r="C818" s="241">
        <v>0.005428571428571422</v>
      </c>
      <c r="D818" s="241">
        <v>0.01584965449533818</v>
      </c>
      <c r="E818" s="248">
        <v>-0.00599941709951891</v>
      </c>
      <c r="F818" s="247">
        <v>-18.93394078440315</v>
      </c>
      <c r="G818" s="246">
        <v>3501.465063738119</v>
      </c>
      <c r="H818" s="247">
        <v>7746.785000000001</v>
      </c>
      <c r="I818" s="247">
        <v>0.0</v>
      </c>
      <c r="J818" s="128">
        <v>50163.402</v>
      </c>
    </row>
    <row r="819">
      <c r="A819" s="245">
        <v>42478.0</v>
      </c>
      <c r="B819" s="241">
        <v>0.010521074739617003</v>
      </c>
      <c r="C819" s="241">
        <v>0.005414285714285708</v>
      </c>
      <c r="D819" s="241">
        <v>0.015935360453902737</v>
      </c>
      <c r="E819" s="248">
        <v>-0.00599941709951891</v>
      </c>
      <c r="F819" s="247">
        <v>-18.93394078440315</v>
      </c>
      <c r="G819" s="246">
        <v>3520.3990045225223</v>
      </c>
      <c r="H819" s="247">
        <v>7746.785000000001</v>
      </c>
      <c r="I819" s="247">
        <v>0.0</v>
      </c>
      <c r="J819" s="128">
        <v>49875.350000000006</v>
      </c>
    </row>
    <row r="820">
      <c r="A820" s="245">
        <v>42475.0</v>
      </c>
      <c r="B820" s="241">
        <v>0.010621066412467274</v>
      </c>
      <c r="C820" s="241">
        <v>0.005399999999999994</v>
      </c>
      <c r="D820" s="241">
        <v>0.016021066412467293</v>
      </c>
      <c r="E820" s="248">
        <v>-0.00599941709951891</v>
      </c>
      <c r="F820" s="247">
        <v>-18.93394078440315</v>
      </c>
      <c r="G820" s="246">
        <v>3539.3329453069255</v>
      </c>
      <c r="H820" s="247">
        <v>7746.785000000001</v>
      </c>
      <c r="I820" s="247">
        <v>0.0</v>
      </c>
      <c r="J820" s="128">
        <v>47097.515</v>
      </c>
    </row>
    <row r="821">
      <c r="A821" s="245">
        <v>42474.0</v>
      </c>
      <c r="B821" s="241">
        <v>0.010721058085317545</v>
      </c>
      <c r="C821" s="241">
        <v>0.00538571428571428</v>
      </c>
      <c r="D821" s="241">
        <v>0.01610677237103185</v>
      </c>
      <c r="E821" s="248">
        <v>-0.00599941709951891</v>
      </c>
      <c r="F821" s="247">
        <v>-18.93394078440315</v>
      </c>
      <c r="G821" s="246">
        <v>3558.2668860913286</v>
      </c>
      <c r="H821" s="247">
        <v>7746.785000000001</v>
      </c>
      <c r="I821" s="247">
        <v>0.0</v>
      </c>
      <c r="J821" s="128">
        <v>47201.04</v>
      </c>
    </row>
    <row r="822">
      <c r="A822" s="245">
        <v>42473.0</v>
      </c>
      <c r="B822" s="241">
        <v>0.010821049758167816</v>
      </c>
      <c r="C822" s="241">
        <v>0.005371428571428566</v>
      </c>
      <c r="D822" s="241">
        <v>0.016192478329596405</v>
      </c>
      <c r="E822" s="248">
        <v>-0.00599941709951891</v>
      </c>
      <c r="F822" s="247">
        <v>-18.93394078440315</v>
      </c>
      <c r="G822" s="246">
        <v>3577.2008268757318</v>
      </c>
      <c r="H822" s="247">
        <v>7746.785000000001</v>
      </c>
      <c r="I822" s="247">
        <v>0.0</v>
      </c>
      <c r="J822" s="128">
        <v>47472.81</v>
      </c>
    </row>
    <row r="823">
      <c r="A823" s="245">
        <v>42472.0</v>
      </c>
      <c r="B823" s="241">
        <v>0.010921041431018087</v>
      </c>
      <c r="C823" s="241">
        <v>0.005357142857142852</v>
      </c>
      <c r="D823" s="241">
        <v>0.01627818428816096</v>
      </c>
      <c r="E823" s="248">
        <v>-0.00599941709951891</v>
      </c>
      <c r="F823" s="247">
        <v>-18.93394078440315</v>
      </c>
      <c r="G823" s="246">
        <v>3596.134767660135</v>
      </c>
      <c r="H823" s="247">
        <v>7746.785000000001</v>
      </c>
      <c r="I823" s="247">
        <v>0.0</v>
      </c>
      <c r="J823" s="128">
        <v>47236.41499999999</v>
      </c>
    </row>
    <row r="824">
      <c r="A824" s="245">
        <v>42471.0</v>
      </c>
      <c r="B824" s="241">
        <v>0.011021033103868358</v>
      </c>
      <c r="C824" s="241">
        <v>0.005342857142857138</v>
      </c>
      <c r="D824" s="241">
        <v>0.016363890246725517</v>
      </c>
      <c r="E824" s="248">
        <v>-0.00599941709951891</v>
      </c>
      <c r="F824" s="247">
        <v>-18.93394078440315</v>
      </c>
      <c r="G824" s="246">
        <v>3615.068708444538</v>
      </c>
      <c r="H824" s="247">
        <v>7746.785000000001</v>
      </c>
      <c r="I824" s="247">
        <v>0.0</v>
      </c>
      <c r="J824" s="128">
        <v>47168.42</v>
      </c>
    </row>
    <row r="825">
      <c r="A825" s="245">
        <v>42468.0</v>
      </c>
      <c r="B825" s="241">
        <v>0.011121024776718629</v>
      </c>
      <c r="C825" s="241">
        <v>0.005328571428571424</v>
      </c>
      <c r="D825" s="241">
        <v>0.016449596205290073</v>
      </c>
      <c r="E825" s="248">
        <v>-0.00599941709951891</v>
      </c>
      <c r="F825" s="247">
        <v>-18.93394078440315</v>
      </c>
      <c r="G825" s="246">
        <v>3634.002649228941</v>
      </c>
      <c r="H825" s="247">
        <v>7746.785000000001</v>
      </c>
      <c r="I825" s="247">
        <v>0.0</v>
      </c>
      <c r="J825" s="128">
        <v>46772.98</v>
      </c>
    </row>
    <row r="826">
      <c r="A826" s="245">
        <v>42467.0</v>
      </c>
      <c r="B826" s="241">
        <v>0.0112210164495689</v>
      </c>
      <c r="C826" s="241">
        <v>0.00531428571428571</v>
      </c>
      <c r="D826" s="241">
        <v>0.01653530216385463</v>
      </c>
      <c r="E826" s="248">
        <v>-0.00599941709951891</v>
      </c>
      <c r="F826" s="247">
        <v>-18.93394078440315</v>
      </c>
      <c r="G826" s="246">
        <v>3652.9365900133444</v>
      </c>
      <c r="H826" s="247">
        <v>7746.785000000001</v>
      </c>
      <c r="I826" s="247">
        <v>0.0</v>
      </c>
      <c r="J826" s="128">
        <v>46808.37500000001</v>
      </c>
    </row>
    <row r="827">
      <c r="A827" s="245">
        <v>42466.0</v>
      </c>
      <c r="B827" s="241">
        <v>0.01132100812241917</v>
      </c>
      <c r="C827" s="241">
        <v>0.005299999999999996</v>
      </c>
      <c r="D827" s="241">
        <v>0.016621008122419186</v>
      </c>
      <c r="E827" s="248">
        <v>-0.00599941709951891</v>
      </c>
      <c r="F827" s="247">
        <v>-18.93394078440315</v>
      </c>
      <c r="G827" s="246">
        <v>3671.8705307977475</v>
      </c>
      <c r="H827" s="247">
        <v>7746.785000000001</v>
      </c>
      <c r="I827" s="247">
        <v>0.0</v>
      </c>
      <c r="J827" s="128">
        <v>46334.465000000004</v>
      </c>
    </row>
    <row r="828">
      <c r="A828" s="245">
        <v>42465.0</v>
      </c>
      <c r="B828" s="241">
        <v>0.011420999795269442</v>
      </c>
      <c r="C828" s="241">
        <v>0.005285714285714282</v>
      </c>
      <c r="D828" s="241">
        <v>0.01670671408098374</v>
      </c>
      <c r="E828" s="248">
        <v>-0.00599941709951891</v>
      </c>
      <c r="F828" s="247">
        <v>-18.93394078440315</v>
      </c>
      <c r="G828" s="246">
        <v>3690.8044715821507</v>
      </c>
      <c r="H828" s="247">
        <v>7746.785000000001</v>
      </c>
      <c r="I828" s="247">
        <v>0.0</v>
      </c>
      <c r="J828" s="128">
        <v>46512.85</v>
      </c>
    </row>
    <row r="829">
      <c r="A829" s="245">
        <v>42464.0</v>
      </c>
      <c r="B829" s="241">
        <v>0.011520991468119713</v>
      </c>
      <c r="C829" s="241">
        <v>0.0052714285714285675</v>
      </c>
      <c r="D829" s="241">
        <v>0.016792420039548298</v>
      </c>
      <c r="E829" s="248">
        <v>-0.00599941709951891</v>
      </c>
      <c r="F829" s="247">
        <v>-18.93394078440315</v>
      </c>
      <c r="G829" s="246">
        <v>3709.738412366554</v>
      </c>
      <c r="H829" s="247">
        <v>7746.785000000001</v>
      </c>
      <c r="I829" s="247">
        <v>0.0</v>
      </c>
      <c r="J829" s="128">
        <v>46284.53999999999</v>
      </c>
    </row>
    <row r="830">
      <c r="A830" s="245">
        <v>42461.0</v>
      </c>
      <c r="B830" s="241">
        <v>0.011620983140969984</v>
      </c>
      <c r="C830" s="241">
        <v>0.0052571428571428535</v>
      </c>
      <c r="D830" s="241">
        <v>0.016878125998112854</v>
      </c>
      <c r="E830" s="248">
        <v>-0.00599941709951891</v>
      </c>
      <c r="F830" s="247">
        <v>-18.93394078440315</v>
      </c>
      <c r="G830" s="246">
        <v>3728.672353150957</v>
      </c>
      <c r="H830" s="247">
        <v>7746.785000000001</v>
      </c>
      <c r="I830" s="247">
        <v>0.0</v>
      </c>
      <c r="J830" s="128">
        <v>46174.409999999996</v>
      </c>
    </row>
    <row r="831">
      <c r="A831" s="245">
        <v>42460.0</v>
      </c>
      <c r="B831" s="241">
        <v>0.011720974813820255</v>
      </c>
      <c r="C831" s="241">
        <v>0.005242857142857139</v>
      </c>
      <c r="D831" s="241">
        <v>0.01696383195667741</v>
      </c>
      <c r="E831" s="248">
        <v>-0.00599941709951891</v>
      </c>
      <c r="F831" s="247">
        <v>-18.93394078440315</v>
      </c>
      <c r="G831" s="246">
        <v>3747.60629393536</v>
      </c>
      <c r="H831" s="247">
        <v>7746.785000000001</v>
      </c>
      <c r="I831" s="247">
        <v>0.0</v>
      </c>
      <c r="J831" s="128">
        <v>46687.665</v>
      </c>
    </row>
    <row r="832">
      <c r="A832" s="245">
        <v>42459.0</v>
      </c>
      <c r="B832" s="241">
        <v>0.011820966486670526</v>
      </c>
      <c r="C832" s="241">
        <v>0.005228571428571425</v>
      </c>
      <c r="D832" s="241">
        <v>0.017049537915241966</v>
      </c>
      <c r="E832" s="248">
        <v>-0.00599941709951891</v>
      </c>
      <c r="F832" s="247">
        <v>-18.93394078440315</v>
      </c>
      <c r="G832" s="246">
        <v>3766.5402347197632</v>
      </c>
      <c r="H832" s="247">
        <v>7746.785000000001</v>
      </c>
      <c r="I832" s="247">
        <v>0.0</v>
      </c>
      <c r="J832" s="128">
        <v>46630.82</v>
      </c>
    </row>
    <row r="833">
      <c r="A833" s="245">
        <v>42458.0</v>
      </c>
      <c r="B833" s="241">
        <v>0.011920958159520796</v>
      </c>
      <c r="C833" s="241">
        <v>0.005214285714285711</v>
      </c>
      <c r="D833" s="241">
        <v>0.01713524387380652</v>
      </c>
      <c r="E833" s="248">
        <v>-0.00599941709951891</v>
      </c>
      <c r="F833" s="247">
        <v>-18.93394078440315</v>
      </c>
      <c r="G833" s="246">
        <v>3785.4741755041664</v>
      </c>
      <c r="H833" s="247">
        <v>7746.785000000001</v>
      </c>
      <c r="I833" s="247">
        <v>0.0</v>
      </c>
      <c r="J833" s="128">
        <v>47150.885</v>
      </c>
    </row>
    <row r="834">
      <c r="A834" s="245">
        <v>42453.0</v>
      </c>
      <c r="B834" s="241">
        <v>0.012020949832371067</v>
      </c>
      <c r="C834" s="241">
        <v>0.005199999999999997</v>
      </c>
      <c r="D834" s="241">
        <v>0.017220949832371078</v>
      </c>
      <c r="E834" s="248">
        <v>-0.00599941709951891</v>
      </c>
      <c r="F834" s="247">
        <v>-18.93394078440315</v>
      </c>
      <c r="G834" s="246">
        <v>3804.4081162885695</v>
      </c>
      <c r="H834" s="247">
        <v>7746.785000000001</v>
      </c>
      <c r="I834" s="247">
        <v>0.0</v>
      </c>
      <c r="J834" s="128">
        <v>47042.47</v>
      </c>
    </row>
    <row r="835">
      <c r="A835" s="245">
        <v>42452.0</v>
      </c>
      <c r="B835" s="241">
        <v>0.012120941505221338</v>
      </c>
      <c r="C835" s="241">
        <v>0.005185714285714283</v>
      </c>
      <c r="D835" s="241">
        <v>0.017306655790935634</v>
      </c>
      <c r="E835" s="248">
        <v>-0.00599941709951891</v>
      </c>
      <c r="F835" s="247">
        <v>-18.93394078440315</v>
      </c>
      <c r="G835" s="246">
        <v>3823.3420570729727</v>
      </c>
      <c r="H835" s="247">
        <v>7746.785000000001</v>
      </c>
      <c r="I835" s="247">
        <v>0.0</v>
      </c>
      <c r="J835" s="128">
        <v>47104.045</v>
      </c>
    </row>
    <row r="836">
      <c r="A836" s="245">
        <v>42451.0</v>
      </c>
      <c r="B836" s="241">
        <v>0.01222093317807161</v>
      </c>
      <c r="C836" s="241">
        <v>0.005171428571428569</v>
      </c>
      <c r="D836" s="241">
        <v>0.01739236174950019</v>
      </c>
      <c r="E836" s="248">
        <v>-0.00599941709951891</v>
      </c>
      <c r="F836" s="247">
        <v>-18.93394078440315</v>
      </c>
      <c r="G836" s="246">
        <v>3842.275997857376</v>
      </c>
      <c r="H836" s="247">
        <v>7746.785000000001</v>
      </c>
      <c r="I836" s="247">
        <v>0.0</v>
      </c>
      <c r="J836" s="128">
        <v>47728.255</v>
      </c>
    </row>
    <row r="837">
      <c r="A837" s="245">
        <v>42450.0</v>
      </c>
      <c r="B837" s="241">
        <v>0.01232092485092188</v>
      </c>
      <c r="C837" s="241">
        <v>0.005157142857142855</v>
      </c>
      <c r="D837" s="241">
        <v>0.017478067708064746</v>
      </c>
      <c r="E837" s="248">
        <v>-0.00599941709951891</v>
      </c>
      <c r="F837" s="247">
        <v>-18.93394078440315</v>
      </c>
      <c r="G837" s="246">
        <v>3861.209938641779</v>
      </c>
      <c r="H837" s="247">
        <v>7746.785000000001</v>
      </c>
      <c r="I837" s="247">
        <v>0.0</v>
      </c>
      <c r="J837" s="128">
        <v>47418.225</v>
      </c>
    </row>
    <row r="838">
      <c r="A838" s="245">
        <v>42447.0</v>
      </c>
      <c r="B838" s="241">
        <v>0.012420916523772151</v>
      </c>
      <c r="C838" s="241">
        <v>0.005142857142857141</v>
      </c>
      <c r="D838" s="241">
        <v>0.0175637736666293</v>
      </c>
      <c r="E838" s="248">
        <v>-0.00599941709951891</v>
      </c>
      <c r="F838" s="247">
        <v>-18.93394078440315</v>
      </c>
      <c r="G838" s="246">
        <v>3880.143879426182</v>
      </c>
      <c r="H838" s="247">
        <v>7746.785000000001</v>
      </c>
      <c r="I838" s="247">
        <v>0.0</v>
      </c>
      <c r="J838" s="128">
        <v>47487.495</v>
      </c>
    </row>
    <row r="839">
      <c r="A839" s="245">
        <v>42446.0</v>
      </c>
      <c r="B839" s="241">
        <v>0.012520908196622422</v>
      </c>
      <c r="C839" s="241">
        <v>0.005128571428571427</v>
      </c>
      <c r="D839" s="241">
        <v>0.017649479625193858</v>
      </c>
      <c r="E839" s="248">
        <v>-0.00599941709951891</v>
      </c>
      <c r="F839" s="247">
        <v>-18.93394078440315</v>
      </c>
      <c r="G839" s="246">
        <v>3899.0778202105853</v>
      </c>
      <c r="H839" s="247">
        <v>7746.785000000001</v>
      </c>
      <c r="I839" s="247">
        <v>0.0</v>
      </c>
      <c r="J839" s="128">
        <v>47543.46000000001</v>
      </c>
    </row>
    <row r="840">
      <c r="A840" s="245">
        <v>42445.0</v>
      </c>
      <c r="B840" s="241">
        <v>0.012620899869472693</v>
      </c>
      <c r="C840" s="241">
        <v>0.005114285714285713</v>
      </c>
      <c r="D840" s="241">
        <v>0.017735185583758414</v>
      </c>
      <c r="E840" s="248">
        <v>-0.00599941709951891</v>
      </c>
      <c r="F840" s="247">
        <v>-18.93394078440315</v>
      </c>
      <c r="G840" s="246">
        <v>3918.0117609949884</v>
      </c>
      <c r="H840" s="247">
        <v>7746.785000000001</v>
      </c>
      <c r="I840" s="247">
        <v>0.0</v>
      </c>
      <c r="J840" s="128">
        <v>47556.435</v>
      </c>
    </row>
    <row r="841">
      <c r="A841" s="245">
        <v>42444.0</v>
      </c>
      <c r="B841" s="241">
        <v>0.012720891542322964</v>
      </c>
      <c r="C841" s="241">
        <v>0.005099999999999999</v>
      </c>
      <c r="D841" s="241">
        <v>0.01782089154232297</v>
      </c>
      <c r="E841" s="248">
        <v>-0.00599941709951891</v>
      </c>
      <c r="F841" s="247">
        <v>-18.93394078440315</v>
      </c>
      <c r="G841" s="246">
        <v>3936.9457017793916</v>
      </c>
      <c r="H841" s="247">
        <v>7746.785000000001</v>
      </c>
      <c r="I841" s="247">
        <v>0.0</v>
      </c>
      <c r="J841" s="128">
        <v>47520.494999999995</v>
      </c>
    </row>
    <row r="842">
      <c r="A842" s="245">
        <v>42443.0</v>
      </c>
      <c r="B842" s="241">
        <v>0.012820883215173235</v>
      </c>
      <c r="C842" s="241">
        <v>0.0050857142857142846</v>
      </c>
      <c r="D842" s="241">
        <v>0.017906597500887526</v>
      </c>
      <c r="E842" s="248">
        <v>-0.00599941709951891</v>
      </c>
      <c r="F842" s="247">
        <v>-18.93394078440315</v>
      </c>
      <c r="G842" s="246">
        <v>3955.8796425637947</v>
      </c>
      <c r="H842" s="247">
        <v>7746.785000000001</v>
      </c>
      <c r="I842" s="247">
        <v>0.0</v>
      </c>
      <c r="J842" s="128">
        <v>47858.375</v>
      </c>
    </row>
    <row r="843">
      <c r="A843" s="245">
        <v>42440.0</v>
      </c>
      <c r="B843" s="241">
        <v>0.012920874888023506</v>
      </c>
      <c r="C843" s="241">
        <v>0.0050714285714285705</v>
      </c>
      <c r="D843" s="241">
        <v>0.01799230345945208</v>
      </c>
      <c r="E843" s="248">
        <v>-0.00599941709951891</v>
      </c>
      <c r="F843" s="247">
        <v>-18.93394078440315</v>
      </c>
      <c r="G843" s="246">
        <v>3974.813583348198</v>
      </c>
      <c r="H843" s="247">
        <v>7746.785000000001</v>
      </c>
      <c r="I843" s="247">
        <v>0.0</v>
      </c>
      <c r="J843" s="128">
        <v>48010.54</v>
      </c>
    </row>
    <row r="844">
      <c r="A844" s="245">
        <v>42439.0</v>
      </c>
      <c r="B844" s="241">
        <v>0.013020866560873777</v>
      </c>
      <c r="C844" s="241">
        <v>0.005057142857142856</v>
      </c>
      <c r="D844" s="241">
        <v>0.018078009418016638</v>
      </c>
      <c r="E844" s="248">
        <v>-0.00599941709951891</v>
      </c>
      <c r="F844" s="247">
        <v>-18.93394078440315</v>
      </c>
      <c r="G844" s="246">
        <v>3993.747524132601</v>
      </c>
      <c r="H844" s="247">
        <v>7746.785000000001</v>
      </c>
      <c r="I844" s="247">
        <v>0.0</v>
      </c>
      <c r="J844" s="128">
        <v>48005.39000000001</v>
      </c>
    </row>
    <row r="845">
      <c r="A845" s="245">
        <v>42438.0</v>
      </c>
      <c r="B845" s="241">
        <v>0.013120858233724048</v>
      </c>
      <c r="C845" s="241">
        <v>0.005042857142857142</v>
      </c>
      <c r="D845" s="241">
        <v>0.018163715376581194</v>
      </c>
      <c r="E845" s="248">
        <v>-0.00599941709951891</v>
      </c>
      <c r="F845" s="247">
        <v>-18.93394078440315</v>
      </c>
      <c r="G845" s="246">
        <v>4012.681464917004</v>
      </c>
      <c r="H845" s="247">
        <v>7746.785000000001</v>
      </c>
      <c r="I845" s="247">
        <v>0.0</v>
      </c>
      <c r="J845" s="128">
        <v>48512.09</v>
      </c>
    </row>
    <row r="846">
      <c r="A846" s="245">
        <v>42437.0</v>
      </c>
      <c r="B846" s="241">
        <v>0.013220849906574319</v>
      </c>
      <c r="C846" s="241">
        <v>0.005028571428571428</v>
      </c>
      <c r="D846" s="241">
        <v>0.01824942133514575</v>
      </c>
      <c r="E846" s="248">
        <v>-0.00599941709951891</v>
      </c>
      <c r="F846" s="247">
        <v>-18.93394078440315</v>
      </c>
      <c r="G846" s="246">
        <v>4031.6154057014073</v>
      </c>
      <c r="H846" s="247">
        <v>7746.785000000001</v>
      </c>
      <c r="I846" s="247">
        <v>0.0</v>
      </c>
      <c r="J846" s="128">
        <v>48804.38</v>
      </c>
    </row>
    <row r="847">
      <c r="A847" s="245">
        <v>42436.0</v>
      </c>
      <c r="B847" s="241">
        <v>0.01332084157942459</v>
      </c>
      <c r="C847" s="241">
        <v>0.005014285714285714</v>
      </c>
      <c r="D847" s="241">
        <v>0.018335127293710306</v>
      </c>
      <c r="E847" s="248">
        <v>-0.00599941709951891</v>
      </c>
      <c r="F847" s="247">
        <v>-18.93394078440315</v>
      </c>
      <c r="G847" s="246">
        <v>4050.5493464858105</v>
      </c>
      <c r="H847" s="247">
        <v>7746.785000000001</v>
      </c>
      <c r="I847" s="247">
        <v>0.0</v>
      </c>
      <c r="J847" s="128">
        <v>48919.015</v>
      </c>
    </row>
    <row r="848">
      <c r="A848" s="245">
        <v>42433.0</v>
      </c>
      <c r="B848" s="28">
        <v>0.01342083325227486</v>
      </c>
      <c r="C848" s="28">
        <v>0.005</v>
      </c>
      <c r="D848" s="173">
        <v>0.018420833252274862</v>
      </c>
      <c r="E848" s="173">
        <v>0.01698228097820644</v>
      </c>
      <c r="F848" s="247">
        <v>117.24006264076434</v>
      </c>
      <c r="G848" s="246">
        <v>4069.4832872702136</v>
      </c>
      <c r="H848" s="247">
        <v>7746.785000000001</v>
      </c>
      <c r="I848" s="247">
        <v>0.0</v>
      </c>
      <c r="J848" s="128">
        <v>48949.725</v>
      </c>
    </row>
    <row r="849">
      <c r="A849" s="245">
        <v>42432.0</v>
      </c>
      <c r="B849" s="241">
        <v>0.012921386971705905</v>
      </c>
      <c r="C849" s="241">
        <v>0.004968750000000001</v>
      </c>
      <c r="D849" s="241">
        <v>0.0178901369717059</v>
      </c>
      <c r="E849" s="248">
        <v>0.01698228097820644</v>
      </c>
      <c r="F849" s="247">
        <v>117.24006264076615</v>
      </c>
      <c r="G849" s="246">
        <v>3952.2432246294493</v>
      </c>
      <c r="H849" s="247">
        <v>7746.785000000001</v>
      </c>
      <c r="I849" s="247">
        <v>0.0</v>
      </c>
      <c r="J849" s="128">
        <v>48914.585</v>
      </c>
    </row>
    <row r="850">
      <c r="A850" s="245">
        <v>42431.0</v>
      </c>
      <c r="B850" s="241">
        <v>0.012421940691136954</v>
      </c>
      <c r="C850" s="241">
        <v>0.004937500000000001</v>
      </c>
      <c r="D850" s="241">
        <v>0.01735944069113695</v>
      </c>
      <c r="E850" s="248">
        <v>0.01698228097820644</v>
      </c>
      <c r="F850" s="247">
        <v>117.24006264076615</v>
      </c>
      <c r="G850" s="246">
        <v>3835.003161988683</v>
      </c>
      <c r="H850" s="247">
        <v>7746.785000000001</v>
      </c>
      <c r="I850" s="247">
        <v>0.0</v>
      </c>
      <c r="J850" s="128">
        <v>48842.755</v>
      </c>
    </row>
    <row r="851">
      <c r="A851" s="245">
        <v>42430.0</v>
      </c>
      <c r="B851" s="241">
        <v>0.011922494410568004</v>
      </c>
      <c r="C851" s="241">
        <v>0.004906250000000001</v>
      </c>
      <c r="D851" s="241">
        <v>0.016828744410568</v>
      </c>
      <c r="E851" s="248">
        <v>0.01698228097820644</v>
      </c>
      <c r="F851" s="247">
        <v>117.24006264076615</v>
      </c>
      <c r="G851" s="246">
        <v>3717.763099347917</v>
      </c>
      <c r="H851" s="247">
        <v>7746.785000000001</v>
      </c>
      <c r="I851" s="247">
        <v>0.0</v>
      </c>
      <c r="J851" s="128">
        <v>48622.0</v>
      </c>
    </row>
    <row r="852">
      <c r="A852" s="245">
        <v>42429.0</v>
      </c>
      <c r="B852" s="241">
        <v>0.011423048129999053</v>
      </c>
      <c r="C852" s="241">
        <v>0.004875000000000001</v>
      </c>
      <c r="D852" s="241">
        <v>0.01629804812999905</v>
      </c>
      <c r="E852" s="248">
        <v>0.01698228097820644</v>
      </c>
      <c r="F852" s="247">
        <v>117.24006264076615</v>
      </c>
      <c r="G852" s="246">
        <v>3600.523036707151</v>
      </c>
      <c r="H852" s="247">
        <v>7746.785000000001</v>
      </c>
      <c r="I852" s="247">
        <v>0.0</v>
      </c>
      <c r="J852" s="128">
        <v>48736.424999999996</v>
      </c>
    </row>
    <row r="853">
      <c r="A853" s="245">
        <v>42426.0</v>
      </c>
      <c r="B853" s="241">
        <v>0.010923601849430102</v>
      </c>
      <c r="C853" s="241">
        <v>0.004843750000000001</v>
      </c>
      <c r="D853" s="241">
        <v>0.015767351849430098</v>
      </c>
      <c r="E853" s="248">
        <v>0.01698228097820644</v>
      </c>
      <c r="F853" s="247">
        <v>117.24006264076615</v>
      </c>
      <c r="G853" s="246">
        <v>3483.2829740663847</v>
      </c>
      <c r="H853" s="247">
        <v>7746.785000000001</v>
      </c>
      <c r="I853" s="247">
        <v>0.0</v>
      </c>
      <c r="J853" s="128">
        <v>47895.32</v>
      </c>
    </row>
    <row r="854">
      <c r="A854" s="245">
        <v>42425.0</v>
      </c>
      <c r="B854" s="241">
        <v>0.010424155568861152</v>
      </c>
      <c r="C854" s="241">
        <v>0.004812500000000001</v>
      </c>
      <c r="D854" s="241">
        <v>0.015236655568861147</v>
      </c>
      <c r="E854" s="248">
        <v>0.01698228097820644</v>
      </c>
      <c r="F854" s="247">
        <v>117.24006264076615</v>
      </c>
      <c r="G854" s="246">
        <v>3366.0429114256185</v>
      </c>
      <c r="H854" s="247">
        <v>7746.785000000001</v>
      </c>
      <c r="I854" s="247">
        <v>0.0</v>
      </c>
      <c r="J854" s="128">
        <v>48017.08499999999</v>
      </c>
    </row>
    <row r="855">
      <c r="A855" s="245">
        <v>42424.0</v>
      </c>
      <c r="B855" s="241">
        <v>0.009924709288292201</v>
      </c>
      <c r="C855" s="241">
        <v>0.004781250000000001</v>
      </c>
      <c r="D855" s="241">
        <v>0.014705959288292197</v>
      </c>
      <c r="E855" s="248">
        <v>0.01698228097820644</v>
      </c>
      <c r="F855" s="247">
        <v>117.24006264076615</v>
      </c>
      <c r="G855" s="246">
        <v>3248.8028487848524</v>
      </c>
      <c r="H855" s="247">
        <v>7746.785000000001</v>
      </c>
      <c r="I855" s="247">
        <v>0.0</v>
      </c>
      <c r="J855" s="128">
        <v>48228.1</v>
      </c>
    </row>
    <row r="856">
      <c r="A856" s="245">
        <v>42423.0</v>
      </c>
      <c r="B856" s="241">
        <v>0.00942526300772325</v>
      </c>
      <c r="C856" s="241">
        <v>0.004750000000000001</v>
      </c>
      <c r="D856" s="241">
        <v>0.014175263007723246</v>
      </c>
      <c r="E856" s="248">
        <v>0.01698228097820644</v>
      </c>
      <c r="F856" s="247">
        <v>117.24006264076615</v>
      </c>
      <c r="G856" s="246">
        <v>3131.562786144086</v>
      </c>
      <c r="H856" s="247">
        <v>7746.785000000001</v>
      </c>
      <c r="I856" s="247">
        <v>0.0</v>
      </c>
      <c r="J856" s="128">
        <v>47695.84999999999</v>
      </c>
    </row>
    <row r="857">
      <c r="A857" s="245">
        <v>42422.0</v>
      </c>
      <c r="B857" s="241">
        <v>0.0089258167271543</v>
      </c>
      <c r="C857" s="241">
        <v>0.004718750000000001</v>
      </c>
      <c r="D857" s="241">
        <v>0.013644566727154295</v>
      </c>
      <c r="E857" s="248">
        <v>0.01698228097820644</v>
      </c>
      <c r="F857" s="247">
        <v>117.24006264076615</v>
      </c>
      <c r="G857" s="246">
        <v>3014.32272350332</v>
      </c>
      <c r="H857" s="247">
        <v>7746.785000000001</v>
      </c>
      <c r="I857" s="247">
        <v>0.0</v>
      </c>
      <c r="J857" s="128">
        <v>47302.71000000001</v>
      </c>
    </row>
    <row r="858">
      <c r="A858" s="245">
        <v>42419.0</v>
      </c>
      <c r="B858" s="241">
        <v>0.00842637044658535</v>
      </c>
      <c r="C858" s="241">
        <v>0.004687500000000001</v>
      </c>
      <c r="D858" s="241">
        <v>0.013113870446585345</v>
      </c>
      <c r="E858" s="248">
        <v>0.01698228097820644</v>
      </c>
      <c r="F858" s="247">
        <v>117.24006264076615</v>
      </c>
      <c r="G858" s="246">
        <v>2897.082660862554</v>
      </c>
      <c r="H858" s="247">
        <v>7746.785000000001</v>
      </c>
      <c r="I858" s="247">
        <v>0.0</v>
      </c>
      <c r="J858" s="128">
        <v>47425.43</v>
      </c>
    </row>
    <row r="859">
      <c r="A859" s="245">
        <v>42418.0</v>
      </c>
      <c r="B859" s="241">
        <v>0.007926924166016399</v>
      </c>
      <c r="C859" s="241">
        <v>0.004656250000000001</v>
      </c>
      <c r="D859" s="241">
        <v>0.012583174166016394</v>
      </c>
      <c r="E859" s="248">
        <v>0.01698228097820644</v>
      </c>
      <c r="F859" s="247">
        <v>117.24006264076615</v>
      </c>
      <c r="G859" s="246">
        <v>2779.8425982217877</v>
      </c>
      <c r="H859" s="247">
        <v>7746.785000000001</v>
      </c>
      <c r="I859" s="247">
        <v>0.0</v>
      </c>
      <c r="J859" s="128">
        <v>47225.1</v>
      </c>
    </row>
    <row r="860">
      <c r="A860" s="245">
        <v>42417.0</v>
      </c>
      <c r="B860" s="241">
        <v>0.007427477885447447</v>
      </c>
      <c r="C860" s="241">
        <v>0.004625000000000001</v>
      </c>
      <c r="D860" s="241">
        <v>0.012052477885447443</v>
      </c>
      <c r="E860" s="248">
        <v>0.01698228097820644</v>
      </c>
      <c r="F860" s="247">
        <v>117.24006264076615</v>
      </c>
      <c r="G860" s="246">
        <v>2662.6025355810216</v>
      </c>
      <c r="H860" s="247">
        <v>7746.785000000001</v>
      </c>
      <c r="I860" s="247">
        <v>0.0</v>
      </c>
      <c r="J860" s="128">
        <v>46761.774999999994</v>
      </c>
    </row>
    <row r="861">
      <c r="A861" s="245">
        <v>42416.0</v>
      </c>
      <c r="B861" s="241">
        <v>0.006928031604878496</v>
      </c>
      <c r="C861" s="241">
        <v>0.004593750000000001</v>
      </c>
      <c r="D861" s="241">
        <v>0.011521781604878493</v>
      </c>
      <c r="E861" s="248">
        <v>0.01698228097820644</v>
      </c>
      <c r="F861" s="247">
        <v>117.24006264076615</v>
      </c>
      <c r="G861" s="246">
        <v>2545.3624729402554</v>
      </c>
      <c r="H861" s="247">
        <v>7746.785000000001</v>
      </c>
      <c r="I861" s="247">
        <v>0.0</v>
      </c>
      <c r="J861" s="128">
        <v>46715.674999999996</v>
      </c>
    </row>
    <row r="862">
      <c r="A862" s="245">
        <v>42415.0</v>
      </c>
      <c r="B862" s="241">
        <v>0.006428585324309544</v>
      </c>
      <c r="C862" s="241">
        <v>0.004562500000000001</v>
      </c>
      <c r="D862" s="241">
        <v>0.010991085324309542</v>
      </c>
      <c r="E862" s="248">
        <v>0.01698228097820644</v>
      </c>
      <c r="F862" s="247">
        <v>117.24006264076615</v>
      </c>
      <c r="G862" s="246">
        <v>2428.1224102994893</v>
      </c>
      <c r="H862" s="247">
        <v>7746.785000000001</v>
      </c>
      <c r="I862" s="247">
        <v>0.0</v>
      </c>
      <c r="J862" s="128">
        <v>46418.869999999995</v>
      </c>
    </row>
    <row r="863">
      <c r="A863" s="245">
        <v>42412.0</v>
      </c>
      <c r="B863" s="241">
        <v>0.005929139043740593</v>
      </c>
      <c r="C863" s="241">
        <v>0.0045312500000000006</v>
      </c>
      <c r="D863" s="241">
        <v>0.010460389043740592</v>
      </c>
      <c r="E863" s="248">
        <v>0.01698228097820644</v>
      </c>
      <c r="F863" s="247">
        <v>117.24006264076615</v>
      </c>
      <c r="G863" s="246">
        <v>2310.882347658723</v>
      </c>
      <c r="H863" s="247">
        <v>7746.785000000001</v>
      </c>
      <c r="I863" s="247">
        <v>0.0</v>
      </c>
      <c r="J863" s="128">
        <v>46995.35999999999</v>
      </c>
    </row>
    <row r="864">
      <c r="A864" s="245">
        <v>42411.0</v>
      </c>
      <c r="B864" s="241">
        <v>0.005429692763171641</v>
      </c>
      <c r="C864" s="241">
        <v>0.0045000000000000005</v>
      </c>
      <c r="D864" s="241">
        <v>0.00992969276317164</v>
      </c>
      <c r="E864" s="248">
        <v>0.01698228097820644</v>
      </c>
      <c r="F864" s="247">
        <v>117.24006264076615</v>
      </c>
      <c r="G864" s="246">
        <v>2193.642285017957</v>
      </c>
      <c r="H864" s="247">
        <v>7746.785000000001</v>
      </c>
      <c r="I864" s="247">
        <v>0.0</v>
      </c>
      <c r="J864" s="128">
        <v>46960.43</v>
      </c>
    </row>
    <row r="865">
      <c r="A865" s="245">
        <v>42410.0</v>
      </c>
      <c r="B865" s="241">
        <v>0.00493024648260269</v>
      </c>
      <c r="C865" s="241">
        <v>0.0044687500000000005</v>
      </c>
      <c r="D865" s="241">
        <v>0.00939899648260269</v>
      </c>
      <c r="E865" s="248">
        <v>0.01698228097820644</v>
      </c>
      <c r="F865" s="247">
        <v>117.24006264076593</v>
      </c>
      <c r="G865" s="246">
        <v>2076.402222377191</v>
      </c>
      <c r="H865" s="247">
        <v>7746.785000000001</v>
      </c>
      <c r="I865" s="247">
        <v>0.0</v>
      </c>
      <c r="J865" s="128">
        <v>45842.94</v>
      </c>
    </row>
    <row r="866">
      <c r="A866" s="245">
        <v>42409.0</v>
      </c>
      <c r="B866" s="241">
        <v>0.004430800202033738</v>
      </c>
      <c r="C866" s="241">
        <v>0.0044375000000000005</v>
      </c>
      <c r="D866" s="241">
        <v>0.00886830020203374</v>
      </c>
      <c r="E866" s="248">
        <v>0.01698228097820644</v>
      </c>
      <c r="F866" s="247">
        <v>117.24006264076615</v>
      </c>
      <c r="G866" s="246">
        <v>1959.1621597364249</v>
      </c>
      <c r="H866" s="247">
        <v>7746.785000000001</v>
      </c>
      <c r="I866" s="247">
        <v>0.0</v>
      </c>
      <c r="J866" s="128">
        <v>45491.575</v>
      </c>
    </row>
    <row r="867">
      <c r="A867" s="245">
        <v>42408.0</v>
      </c>
      <c r="B867" s="241">
        <v>0.003931353921464787</v>
      </c>
      <c r="C867" s="241">
        <v>0.0044062500000000004</v>
      </c>
      <c r="D867" s="241">
        <v>0.008337603921464789</v>
      </c>
      <c r="E867" s="248">
        <v>0.01698228097820644</v>
      </c>
      <c r="F867" s="247">
        <v>117.24006264076615</v>
      </c>
      <c r="G867" s="246">
        <v>1841.9220970956587</v>
      </c>
      <c r="H867" s="247">
        <v>7746.785000000001</v>
      </c>
      <c r="I867" s="247">
        <v>0.0</v>
      </c>
      <c r="J867" s="128">
        <v>46110.265</v>
      </c>
    </row>
    <row r="868">
      <c r="A868" s="245">
        <v>42405.0</v>
      </c>
      <c r="B868" s="241">
        <v>0.003431907640895835</v>
      </c>
      <c r="C868" s="241">
        <v>0.004375</v>
      </c>
      <c r="D868" s="241">
        <v>0.007806907640895838</v>
      </c>
      <c r="E868" s="248">
        <v>0.01698228097820644</v>
      </c>
      <c r="F868" s="247">
        <v>117.24006264076615</v>
      </c>
      <c r="G868" s="246">
        <v>1724.6820344548926</v>
      </c>
      <c r="H868" s="247">
        <v>7746.785000000001</v>
      </c>
      <c r="I868" s="247">
        <v>0.0</v>
      </c>
      <c r="J868" s="128">
        <v>45210.284999999996</v>
      </c>
    </row>
    <row r="869">
      <c r="A869" s="245">
        <v>42404.0</v>
      </c>
      <c r="B869" s="241">
        <v>0.002932461360326884</v>
      </c>
      <c r="C869" s="241">
        <v>0.00434375</v>
      </c>
      <c r="D869" s="241">
        <v>0.007276211360326887</v>
      </c>
      <c r="E869" s="248">
        <v>0.01698228097820644</v>
      </c>
      <c r="F869" s="247">
        <v>117.24006264076615</v>
      </c>
      <c r="G869" s="246">
        <v>1607.4419718141264</v>
      </c>
      <c r="H869" s="247">
        <v>7746.785000000001</v>
      </c>
      <c r="I869" s="247">
        <v>0.0</v>
      </c>
      <c r="J869" s="128">
        <v>45013.384999999995</v>
      </c>
    </row>
    <row r="870">
      <c r="A870" s="245">
        <v>42403.0</v>
      </c>
      <c r="B870" s="241">
        <v>0.002433015079757933</v>
      </c>
      <c r="C870" s="241">
        <v>0.0043125</v>
      </c>
      <c r="D870" s="241">
        <v>0.006745515079757935</v>
      </c>
      <c r="E870" s="248">
        <v>0.01698228097820644</v>
      </c>
      <c r="F870" s="247">
        <v>117.24006264076615</v>
      </c>
      <c r="G870" s="246">
        <v>1490.2019091733603</v>
      </c>
      <c r="H870" s="247">
        <v>7746.785000000001</v>
      </c>
      <c r="I870" s="247">
        <v>0.0</v>
      </c>
      <c r="J870" s="128">
        <v>45231.64</v>
      </c>
    </row>
    <row r="871">
      <c r="A871" s="245">
        <v>42402.0</v>
      </c>
      <c r="B871" s="241">
        <v>0.001933568799188982</v>
      </c>
      <c r="C871" s="241">
        <v>0.00428125</v>
      </c>
      <c r="D871" s="241">
        <v>0.006214818799188984</v>
      </c>
      <c r="E871" s="248">
        <v>0.01698228097820644</v>
      </c>
      <c r="F871" s="247">
        <v>117.24006264076615</v>
      </c>
      <c r="G871" s="246">
        <v>1372.961846532594</v>
      </c>
      <c r="H871" s="247">
        <v>7746.785000000001</v>
      </c>
      <c r="I871" s="247">
        <v>0.0</v>
      </c>
      <c r="J871" s="128">
        <v>45474.450000000004</v>
      </c>
    </row>
    <row r="872">
      <c r="A872" s="245">
        <v>42401.0</v>
      </c>
      <c r="B872" s="241">
        <v>0.001434122518620031</v>
      </c>
      <c r="C872" s="241">
        <v>0.00425</v>
      </c>
      <c r="D872" s="241">
        <v>0.005684122518620032</v>
      </c>
      <c r="E872" s="248">
        <v>0.01698228097820644</v>
      </c>
      <c r="F872" s="247">
        <v>117.24006264076615</v>
      </c>
      <c r="G872" s="246">
        <v>1255.721783891828</v>
      </c>
      <c r="H872" s="247">
        <v>7746.785000000001</v>
      </c>
      <c r="I872" s="247">
        <v>0.0</v>
      </c>
      <c r="J872" s="128">
        <v>45553.355</v>
      </c>
    </row>
    <row r="873">
      <c r="A873" s="245">
        <v>42398.0</v>
      </c>
      <c r="B873" s="241">
        <v>9.346762380510799E-4</v>
      </c>
      <c r="C873" s="241">
        <v>0.00421875</v>
      </c>
      <c r="D873" s="241">
        <v>0.005153426238051081</v>
      </c>
      <c r="E873" s="248">
        <v>0.01698228097820644</v>
      </c>
      <c r="F873" s="247">
        <v>117.24006264076604</v>
      </c>
      <c r="G873" s="246">
        <v>1138.4817212510618</v>
      </c>
      <c r="H873" s="247">
        <v>7746.785000000001</v>
      </c>
      <c r="I873" s="247">
        <v>0.0</v>
      </c>
      <c r="J873" s="128">
        <v>45546.26</v>
      </c>
    </row>
    <row r="874">
      <c r="A874" s="245">
        <v>42397.0</v>
      </c>
      <c r="B874" s="241">
        <v>4.352299574821287E-4</v>
      </c>
      <c r="C874" s="241">
        <v>0.0041875</v>
      </c>
      <c r="D874" s="241">
        <v>0.004622729957482129</v>
      </c>
      <c r="E874" s="248">
        <v>0.01698228097820644</v>
      </c>
      <c r="F874" s="247">
        <v>117.24006264076604</v>
      </c>
      <c r="G874" s="246">
        <v>1021.2416586102958</v>
      </c>
      <c r="H874" s="247">
        <v>7746.785000000001</v>
      </c>
      <c r="I874" s="247">
        <v>0.0</v>
      </c>
      <c r="J874" s="128">
        <v>44855.564999999995</v>
      </c>
    </row>
    <row r="875">
      <c r="A875" s="245">
        <v>42396.0</v>
      </c>
      <c r="B875" s="241">
        <v>-6.421632308682246E-5</v>
      </c>
      <c r="C875" s="241">
        <v>0.00415625</v>
      </c>
      <c r="D875" s="241">
        <v>0.0040920336769131775</v>
      </c>
      <c r="E875" s="248">
        <v>0.01698228097820644</v>
      </c>
      <c r="F875" s="247">
        <v>117.24006264076604</v>
      </c>
      <c r="G875" s="246">
        <v>904.0015959695297</v>
      </c>
      <c r="H875" s="247">
        <v>7746.785000000001</v>
      </c>
      <c r="I875" s="247">
        <v>0.0</v>
      </c>
      <c r="J875" s="128">
        <v>45216.365</v>
      </c>
    </row>
    <row r="876">
      <c r="A876" s="245">
        <v>42395.0</v>
      </c>
      <c r="B876" s="241">
        <v>-5.636626036557736E-4</v>
      </c>
      <c r="C876" s="241">
        <v>0.004125</v>
      </c>
      <c r="D876" s="241">
        <v>0.0035613373963442265</v>
      </c>
      <c r="E876" s="248">
        <v>0.01698228097820644</v>
      </c>
      <c r="F876" s="247">
        <v>117.24006264076604</v>
      </c>
      <c r="G876" s="246">
        <v>786.7615333287637</v>
      </c>
      <c r="H876" s="247">
        <v>7746.785000000001</v>
      </c>
      <c r="I876" s="247">
        <v>0.0</v>
      </c>
      <c r="J876" s="128">
        <v>45331.215</v>
      </c>
    </row>
    <row r="877">
      <c r="A877" s="245">
        <v>42394.0</v>
      </c>
      <c r="B877" s="241">
        <v>-0.0010631088842247248</v>
      </c>
      <c r="C877" s="241">
        <v>0.00409375</v>
      </c>
      <c r="D877" s="241">
        <v>0.0030306411157752754</v>
      </c>
      <c r="E877" s="248">
        <v>0.01698228097820644</v>
      </c>
      <c r="F877" s="247">
        <v>117.24006264076604</v>
      </c>
      <c r="G877" s="246">
        <v>669.5214706879976</v>
      </c>
      <c r="H877" s="247">
        <v>7746.785000000001</v>
      </c>
      <c r="I877" s="247">
        <v>0.0</v>
      </c>
      <c r="J877" s="128">
        <v>45104.95</v>
      </c>
    </row>
    <row r="878">
      <c r="A878" s="245">
        <v>42391.0</v>
      </c>
      <c r="B878" s="241">
        <v>-0.0015625551647936759</v>
      </c>
      <c r="C878" s="241">
        <v>0.0040625</v>
      </c>
      <c r="D878" s="241">
        <v>0.0024999448352063243</v>
      </c>
      <c r="E878" s="248">
        <v>0.01698228097820644</v>
      </c>
      <c r="F878" s="247">
        <v>117.24006264076604</v>
      </c>
      <c r="G878" s="246">
        <v>552.2814080472316</v>
      </c>
      <c r="H878" s="247">
        <v>7746.785000000001</v>
      </c>
      <c r="I878" s="247">
        <v>0.0</v>
      </c>
      <c r="J878" s="128">
        <v>44960.005</v>
      </c>
    </row>
    <row r="879">
      <c r="A879" s="245">
        <v>42390.0</v>
      </c>
      <c r="B879" s="241">
        <v>-0.002062001445362627</v>
      </c>
      <c r="C879" s="241">
        <v>0.00403125</v>
      </c>
      <c r="D879" s="241">
        <v>0.001969248554637373</v>
      </c>
      <c r="E879" s="248">
        <v>0.01698228097820644</v>
      </c>
      <c r="F879" s="247">
        <v>117.24006264076604</v>
      </c>
      <c r="G879" s="246">
        <v>435.04134540646555</v>
      </c>
      <c r="H879" s="247">
        <v>7746.785000000001</v>
      </c>
      <c r="I879" s="247">
        <v>0.0</v>
      </c>
      <c r="J879" s="128">
        <v>44762.09999999999</v>
      </c>
    </row>
    <row r="880">
      <c r="A880" s="245">
        <v>42389.0</v>
      </c>
      <c r="B880" s="241">
        <v>-0.002561447725931578</v>
      </c>
      <c r="C880" s="241">
        <v>0.004</v>
      </c>
      <c r="D880" s="241">
        <v>0.001438552274068422</v>
      </c>
      <c r="E880" s="241">
        <v>0.0011275319964809813</v>
      </c>
      <c r="F880" s="247">
        <v>9.225610366146952</v>
      </c>
      <c r="G880" s="246">
        <v>317.8012827656995</v>
      </c>
      <c r="H880" s="138">
        <v>7746.785000000001</v>
      </c>
      <c r="I880" s="247">
        <v>0.0</v>
      </c>
      <c r="J880" s="128">
        <v>44566.43</v>
      </c>
    </row>
    <row r="881">
      <c r="A881" s="245">
        <v>42388.0</v>
      </c>
      <c r="B881" s="241">
        <v>-0.0025661711332086484</v>
      </c>
      <c r="C881" s="241">
        <v>0.003962962962962968</v>
      </c>
      <c r="D881" s="241">
        <v>0.0013967918297543127</v>
      </c>
      <c r="E881" s="248">
        <v>0.0011275319964809813</v>
      </c>
      <c r="F881" s="247">
        <v>9.225610366146896</v>
      </c>
      <c r="G881" s="246">
        <v>308.57567239955256</v>
      </c>
      <c r="H881" s="138">
        <v>7246.285000000001</v>
      </c>
      <c r="I881" s="247">
        <v>0.0</v>
      </c>
      <c r="J881" s="128">
        <v>44224.57</v>
      </c>
    </row>
    <row r="882">
      <c r="A882" s="245">
        <v>42387.0</v>
      </c>
      <c r="B882" s="241">
        <v>-0.002570894540485722</v>
      </c>
      <c r="C882" s="241">
        <v>0.003925925925925931</v>
      </c>
      <c r="D882" s="241">
        <v>0.0013550313854402021</v>
      </c>
      <c r="E882" s="248">
        <v>0.0011275319964809813</v>
      </c>
      <c r="F882" s="247">
        <v>9.225610366146896</v>
      </c>
      <c r="G882" s="246">
        <v>299.35006203340566</v>
      </c>
      <c r="H882" s="138">
        <v>7246.285000000001</v>
      </c>
      <c r="I882" s="247">
        <v>0.0</v>
      </c>
      <c r="J882" s="128">
        <v>44368.865</v>
      </c>
    </row>
    <row r="883">
      <c r="A883" s="245">
        <v>42384.0</v>
      </c>
      <c r="B883" s="241">
        <v>-0.0025756179477627954</v>
      </c>
      <c r="C883" s="241">
        <v>0.003888888888888894</v>
      </c>
      <c r="D883" s="241">
        <v>0.0013132709411260916</v>
      </c>
      <c r="E883" s="248">
        <v>0.0011275319964809813</v>
      </c>
      <c r="F883" s="247">
        <v>9.225610366146896</v>
      </c>
      <c r="G883" s="246">
        <v>290.12445166725877</v>
      </c>
      <c r="H883" s="138">
        <v>7246.285000000001</v>
      </c>
      <c r="I883" s="247">
        <v>0.0</v>
      </c>
      <c r="J883" s="128">
        <v>44081.305</v>
      </c>
    </row>
    <row r="884">
      <c r="A884" s="245">
        <v>42383.0</v>
      </c>
      <c r="B884" s="241">
        <v>-0.002580341355039869</v>
      </c>
      <c r="C884" s="241">
        <v>0.0038518518518518567</v>
      </c>
      <c r="D884" s="241">
        <v>0.001271510496811981</v>
      </c>
      <c r="E884" s="248">
        <v>0.0011275319964809813</v>
      </c>
      <c r="F884" s="247">
        <v>9.225610366146896</v>
      </c>
      <c r="G884" s="246">
        <v>280.8988413011119</v>
      </c>
      <c r="H884" s="138">
        <v>7246.285000000001</v>
      </c>
      <c r="I884" s="247">
        <v>0.0</v>
      </c>
      <c r="J884" s="128">
        <v>44303.815</v>
      </c>
    </row>
    <row r="885">
      <c r="A885" s="245">
        <v>42382.0</v>
      </c>
      <c r="B885" s="241">
        <v>-0.0025850647623169424</v>
      </c>
      <c r="C885" s="241">
        <v>0.0038148148148148195</v>
      </c>
      <c r="D885" s="241">
        <v>0.0012297500524978706</v>
      </c>
      <c r="E885" s="248">
        <v>0.0011275319964809813</v>
      </c>
      <c r="F885" s="247">
        <v>9.225610366146896</v>
      </c>
      <c r="G885" s="246">
        <v>271.673230934965</v>
      </c>
      <c r="H885" s="138">
        <v>7246.285000000001</v>
      </c>
      <c r="I885" s="247">
        <v>0.0</v>
      </c>
      <c r="J885" s="128">
        <v>44543.64</v>
      </c>
    </row>
    <row r="886">
      <c r="A886" s="245">
        <v>42381.0</v>
      </c>
      <c r="B886" s="241">
        <v>-0.002589788169594016</v>
      </c>
      <c r="C886" s="241">
        <v>0.0037777777777777822</v>
      </c>
      <c r="D886" s="241">
        <v>0.00118798960818376</v>
      </c>
      <c r="E886" s="248">
        <v>0.0011275319964809813</v>
      </c>
      <c r="F886" s="247">
        <v>9.225610366146896</v>
      </c>
      <c r="G886" s="246">
        <v>262.4476205688181</v>
      </c>
      <c r="H886" s="138">
        <v>7246.285000000001</v>
      </c>
      <c r="I886" s="247">
        <v>0.0</v>
      </c>
      <c r="J886" s="128">
        <v>44540.104999999996</v>
      </c>
    </row>
    <row r="887">
      <c r="A887" s="245">
        <v>42380.0</v>
      </c>
      <c r="B887" s="241">
        <v>-0.0025945115768710894</v>
      </c>
      <c r="C887" s="241">
        <v>0.003740740740740745</v>
      </c>
      <c r="D887" s="241">
        <v>0.0011462291638696495</v>
      </c>
      <c r="E887" s="248">
        <v>0.0011275319964809813</v>
      </c>
      <c r="F887" s="247">
        <v>9.225610366146924</v>
      </c>
      <c r="G887" s="246">
        <v>253.22201020267119</v>
      </c>
      <c r="H887" s="138">
        <v>7246.285000000001</v>
      </c>
      <c r="I887" s="247">
        <v>0.0</v>
      </c>
      <c r="J887" s="128">
        <v>44609.165</v>
      </c>
    </row>
    <row r="888">
      <c r="A888" s="245">
        <v>42377.0</v>
      </c>
      <c r="B888" s="241">
        <v>-0.002599234984148163</v>
      </c>
      <c r="C888" s="241">
        <v>0.0037037037037037077</v>
      </c>
      <c r="D888" s="241">
        <v>0.001104468719555539</v>
      </c>
      <c r="E888" s="248">
        <v>0.0011275319964809813</v>
      </c>
      <c r="F888" s="247">
        <v>9.225610366146924</v>
      </c>
      <c r="G888" s="246">
        <v>243.99639983652426</v>
      </c>
      <c r="H888" s="138">
        <v>7246.285000000001</v>
      </c>
      <c r="I888" s="247">
        <v>0.0</v>
      </c>
      <c r="J888" s="128">
        <v>44764.01500000001</v>
      </c>
    </row>
    <row r="889">
      <c r="A889" s="245">
        <v>42376.0</v>
      </c>
      <c r="B889" s="241">
        <v>-0.0026039583914252364</v>
      </c>
      <c r="C889" s="241">
        <v>0.0036666666666666705</v>
      </c>
      <c r="D889" s="241">
        <v>0.0010627082752414285</v>
      </c>
      <c r="E889" s="248">
        <v>0.0011275319964809813</v>
      </c>
      <c r="F889" s="247">
        <v>9.225610366146924</v>
      </c>
      <c r="G889" s="246">
        <v>234.77078947037734</v>
      </c>
      <c r="H889" s="138">
        <v>7246.285000000001</v>
      </c>
      <c r="I889" s="247">
        <v>0.0</v>
      </c>
      <c r="J889" s="128">
        <v>45005.83</v>
      </c>
    </row>
    <row r="890">
      <c r="A890" s="245">
        <v>42375.0</v>
      </c>
      <c r="B890" s="241">
        <v>-0.00260868179870231</v>
      </c>
      <c r="C890" s="241">
        <v>0.0036296296296296333</v>
      </c>
      <c r="D890" s="241">
        <v>0.001020947830927318</v>
      </c>
      <c r="E890" s="248">
        <v>0.0011275319964809813</v>
      </c>
      <c r="F890" s="247">
        <v>9.225610366146924</v>
      </c>
      <c r="G890" s="246">
        <v>225.5451791042304</v>
      </c>
      <c r="H890" s="138">
        <v>7246.285000000001</v>
      </c>
      <c r="I890" s="247">
        <v>0.0</v>
      </c>
      <c r="J890" s="128">
        <v>45064.25</v>
      </c>
    </row>
    <row r="891">
      <c r="A891" s="245">
        <v>42374.0</v>
      </c>
      <c r="B891" s="241">
        <v>-0.0026134052059793834</v>
      </c>
      <c r="C891" s="241">
        <v>0.003592592592592596</v>
      </c>
      <c r="D891" s="241">
        <v>9.791873866132074E-4</v>
      </c>
      <c r="E891" s="248">
        <v>0.0011275319964809813</v>
      </c>
      <c r="F891" s="247">
        <v>9.225610366146924</v>
      </c>
      <c r="G891" s="246">
        <v>216.3195687380835</v>
      </c>
      <c r="H891" s="138">
        <v>7246.285000000001</v>
      </c>
      <c r="I891" s="247">
        <v>0.0</v>
      </c>
      <c r="J891" s="128">
        <v>44874.525</v>
      </c>
    </row>
    <row r="892">
      <c r="A892" s="245">
        <v>42373.0</v>
      </c>
      <c r="B892" s="241">
        <v>-0.002618128613256457</v>
      </c>
      <c r="C892" s="241">
        <v>0.0035555555555555588</v>
      </c>
      <c r="D892" s="241">
        <v>9.37426942299097E-4</v>
      </c>
      <c r="E892" s="248">
        <v>0.0011275319964809813</v>
      </c>
      <c r="F892" s="247">
        <v>9.225610366146924</v>
      </c>
      <c r="G892" s="246">
        <v>207.09395837193657</v>
      </c>
      <c r="H892" s="138">
        <v>7246.285000000001</v>
      </c>
      <c r="I892" s="247">
        <v>0.0</v>
      </c>
      <c r="J892" s="128">
        <v>44519.74</v>
      </c>
    </row>
    <row r="893">
      <c r="A893" s="245">
        <v>42369.0</v>
      </c>
      <c r="B893" s="241">
        <v>-0.0026228520205335303</v>
      </c>
      <c r="C893" s="241">
        <v>0.0035185185185185215</v>
      </c>
      <c r="D893" s="241">
        <v>8.956664979849866E-4</v>
      </c>
      <c r="E893" s="248">
        <v>0.0011275319964809813</v>
      </c>
      <c r="F893" s="247">
        <v>9.225610366146924</v>
      </c>
      <c r="G893" s="246">
        <v>197.86834800578964</v>
      </c>
      <c r="H893" s="138">
        <v>7246.285000000001</v>
      </c>
      <c r="I893" s="247">
        <v>0.0</v>
      </c>
      <c r="J893" s="128">
        <v>43768.90499999999</v>
      </c>
    </row>
    <row r="894">
      <c r="A894" s="245">
        <v>42368.0</v>
      </c>
      <c r="B894" s="241">
        <v>-0.002627575427810604</v>
      </c>
      <c r="C894" s="241">
        <v>0.0034814814814814843</v>
      </c>
      <c r="D894" s="241">
        <v>8.539060536708762E-4</v>
      </c>
      <c r="E894" s="248">
        <v>0.0011275319964809813</v>
      </c>
      <c r="F894" s="247">
        <v>9.225610366146924</v>
      </c>
      <c r="G894" s="246">
        <v>188.64273763964272</v>
      </c>
      <c r="H894" s="138">
        <v>7246.285000000001</v>
      </c>
      <c r="I894" s="247">
        <v>0.0</v>
      </c>
      <c r="J894" s="128">
        <v>43701.825</v>
      </c>
    </row>
    <row r="895">
      <c r="A895" s="245">
        <v>42367.0</v>
      </c>
      <c r="B895" s="241">
        <v>-0.0026322988350876773</v>
      </c>
      <c r="C895" s="241">
        <v>0.003444444444444447</v>
      </c>
      <c r="D895" s="241">
        <v>8.121456093567658E-4</v>
      </c>
      <c r="E895" s="248">
        <v>0.0011275319964809813</v>
      </c>
      <c r="F895" s="247">
        <v>9.225610366146924</v>
      </c>
      <c r="G895" s="246">
        <v>179.4171272734958</v>
      </c>
      <c r="H895" s="138">
        <v>7246.285000000001</v>
      </c>
      <c r="I895" s="247">
        <v>0.0</v>
      </c>
      <c r="J895" s="128">
        <v>43961.97</v>
      </c>
    </row>
    <row r="896">
      <c r="A896" s="245">
        <v>42366.0</v>
      </c>
      <c r="B896" s="241">
        <v>-0.002637022242364751</v>
      </c>
      <c r="C896" s="241">
        <v>0.0034074074074074098</v>
      </c>
      <c r="D896" s="241">
        <v>7.703851650426554E-4</v>
      </c>
      <c r="E896" s="248">
        <v>0.0011275319964809813</v>
      </c>
      <c r="F896" s="247">
        <v>9.225610366146924</v>
      </c>
      <c r="G896" s="246">
        <v>170.19151690734887</v>
      </c>
      <c r="H896" s="138">
        <v>7246.285000000001</v>
      </c>
      <c r="I896" s="247">
        <v>0.0</v>
      </c>
      <c r="J896" s="128">
        <v>43686.935</v>
      </c>
    </row>
    <row r="897">
      <c r="A897" s="245">
        <v>42362.0</v>
      </c>
      <c r="B897" s="241">
        <v>-0.0026417456496418243</v>
      </c>
      <c r="C897" s="241">
        <v>0.0033703703703703725</v>
      </c>
      <c r="D897" s="241">
        <v>7.28624720728545E-4</v>
      </c>
      <c r="E897" s="248">
        <v>0.0011275319964809813</v>
      </c>
      <c r="F897" s="247">
        <v>9.225610366146924</v>
      </c>
      <c r="G897" s="246">
        <v>160.96590654120195</v>
      </c>
      <c r="H897" s="138">
        <v>7246.285000000001</v>
      </c>
      <c r="I897" s="247">
        <v>0.0</v>
      </c>
      <c r="J897" s="128">
        <v>43912.05</v>
      </c>
    </row>
    <row r="898">
      <c r="A898" s="245">
        <v>42361.0</v>
      </c>
      <c r="B898" s="241">
        <v>-0.002646469056918898</v>
      </c>
      <c r="C898" s="241">
        <v>0.0033333333333333353</v>
      </c>
      <c r="D898" s="241">
        <v>6.868642764144346E-4</v>
      </c>
      <c r="E898" s="248">
        <v>0.0011275319964809813</v>
      </c>
      <c r="F898" s="247">
        <v>9.225610366146924</v>
      </c>
      <c r="G898" s="246">
        <v>151.74029617505502</v>
      </c>
      <c r="H898" s="138">
        <v>7246.285000000001</v>
      </c>
      <c r="I898" s="247">
        <v>0.0</v>
      </c>
      <c r="J898" s="128">
        <v>44072.33</v>
      </c>
    </row>
    <row r="899">
      <c r="A899" s="245">
        <v>42360.0</v>
      </c>
      <c r="B899" s="241">
        <v>-0.0026511924641959713</v>
      </c>
      <c r="C899" s="241">
        <v>0.003296296296296298</v>
      </c>
      <c r="D899" s="241">
        <v>6.451038321003241E-4</v>
      </c>
      <c r="E899" s="248">
        <v>0.0011275319964809813</v>
      </c>
      <c r="F899" s="247">
        <v>9.225610366146924</v>
      </c>
      <c r="G899" s="246">
        <v>142.5146858089081</v>
      </c>
      <c r="H899" s="138">
        <v>7246.285000000001</v>
      </c>
      <c r="I899" s="247">
        <v>0.0</v>
      </c>
      <c r="J899" s="128">
        <v>43814.965</v>
      </c>
    </row>
    <row r="900">
      <c r="A900" s="245">
        <v>42359.0</v>
      </c>
      <c r="B900" s="241">
        <v>-0.0026559158714730448</v>
      </c>
      <c r="C900" s="241">
        <v>0.003259259259259261</v>
      </c>
      <c r="D900" s="241">
        <v>6.033433877862137E-4</v>
      </c>
      <c r="E900" s="248">
        <v>0.0011275319964809813</v>
      </c>
      <c r="F900" s="247">
        <v>9.22561036614691</v>
      </c>
      <c r="G900" s="246">
        <v>133.28907544276117</v>
      </c>
      <c r="H900" s="138">
        <v>7246.285000000001</v>
      </c>
      <c r="I900" s="247">
        <v>0.0</v>
      </c>
      <c r="J900" s="128">
        <v>44089.945</v>
      </c>
    </row>
    <row r="901">
      <c r="A901" s="245">
        <v>42356.0</v>
      </c>
      <c r="B901" s="241">
        <v>-0.0026606392787501183</v>
      </c>
      <c r="C901" s="241">
        <v>0.0032222222222222235</v>
      </c>
      <c r="D901" s="241">
        <v>5.615829434721033E-4</v>
      </c>
      <c r="E901" s="248">
        <v>0.0011275319964809813</v>
      </c>
      <c r="F901" s="247">
        <v>9.22561036614691</v>
      </c>
      <c r="G901" s="246">
        <v>124.06346507661426</v>
      </c>
      <c r="H901" s="138">
        <v>7246.285000000001</v>
      </c>
      <c r="I901" s="247">
        <v>0.0</v>
      </c>
      <c r="J901" s="128">
        <v>44110.295</v>
      </c>
    </row>
    <row r="902">
      <c r="A902" s="245">
        <v>42355.0</v>
      </c>
      <c r="B902" s="241">
        <v>-0.0026653626860271918</v>
      </c>
      <c r="C902" s="241">
        <v>0.0031851851851851863</v>
      </c>
      <c r="D902" s="241">
        <v>5.198224991579929E-4</v>
      </c>
      <c r="E902" s="248">
        <v>0.0011275319964809813</v>
      </c>
      <c r="F902" s="247">
        <v>9.22561036614691</v>
      </c>
      <c r="G902" s="246">
        <v>114.83785471046735</v>
      </c>
      <c r="H902" s="138">
        <v>7246.285000000001</v>
      </c>
      <c r="I902" s="247">
        <v>0.0</v>
      </c>
      <c r="J902" s="128">
        <v>43843.185</v>
      </c>
    </row>
    <row r="903">
      <c r="A903" s="245">
        <v>42354.0</v>
      </c>
      <c r="B903" s="241">
        <v>-0.0026700860933042653</v>
      </c>
      <c r="C903" s="241">
        <v>0.003148148148148149</v>
      </c>
      <c r="D903" s="241">
        <v>4.780620548438825E-4</v>
      </c>
      <c r="E903" s="248">
        <v>0.0011275319964809813</v>
      </c>
      <c r="F903" s="247">
        <v>9.22561036614691</v>
      </c>
      <c r="G903" s="246">
        <v>105.61224434432044</v>
      </c>
      <c r="H903" s="138">
        <v>7246.285000000001</v>
      </c>
      <c r="I903" s="247">
        <v>0.0</v>
      </c>
      <c r="J903" s="128">
        <v>43946.450000000004</v>
      </c>
    </row>
    <row r="904">
      <c r="A904" s="245">
        <v>42353.0</v>
      </c>
      <c r="B904" s="241">
        <v>-0.0026748095005813387</v>
      </c>
      <c r="C904" s="241">
        <v>0.003111111111111112</v>
      </c>
      <c r="D904" s="241">
        <v>4.363016105297721E-4</v>
      </c>
      <c r="E904" s="248">
        <v>0.0011275319964809813</v>
      </c>
      <c r="F904" s="247">
        <v>9.22561036614691</v>
      </c>
      <c r="G904" s="246">
        <v>96.38663397817353</v>
      </c>
      <c r="H904" s="138">
        <v>7246.285000000001</v>
      </c>
      <c r="I904" s="247">
        <v>0.0</v>
      </c>
      <c r="J904" s="128">
        <v>43648.575</v>
      </c>
    </row>
    <row r="905">
      <c r="A905" s="245">
        <v>42352.0</v>
      </c>
      <c r="B905" s="241">
        <v>-0.0026795329078584122</v>
      </c>
      <c r="C905" s="241">
        <v>0.0030740740740740746</v>
      </c>
      <c r="D905" s="241">
        <v>3.9454116621566167E-4</v>
      </c>
      <c r="E905" s="248">
        <v>0.0011275319964809813</v>
      </c>
      <c r="F905" s="247">
        <v>9.22561036614691</v>
      </c>
      <c r="G905" s="246">
        <v>87.16102361202663</v>
      </c>
      <c r="H905" s="138">
        <v>7246.285000000001</v>
      </c>
      <c r="I905" s="247">
        <v>0.0</v>
      </c>
      <c r="J905" s="128">
        <v>43399.98</v>
      </c>
    </row>
    <row r="906">
      <c r="A906" s="245">
        <v>42349.0</v>
      </c>
      <c r="B906" s="241">
        <v>-0.0026842563151354857</v>
      </c>
      <c r="C906" s="241">
        <v>0.0030370370370370373</v>
      </c>
      <c r="D906" s="241">
        <v>3.5278072190155125E-4</v>
      </c>
      <c r="E906" s="248">
        <v>0.0011275319964809813</v>
      </c>
      <c r="F906" s="247">
        <v>9.22561036614691</v>
      </c>
      <c r="G906" s="246">
        <v>77.93541324587972</v>
      </c>
      <c r="H906" s="138">
        <v>7246.285000000001</v>
      </c>
      <c r="I906" s="247">
        <v>0.0</v>
      </c>
      <c r="J906" s="128">
        <v>43826.90000000001</v>
      </c>
    </row>
    <row r="907">
      <c r="A907" s="245">
        <v>42348.0</v>
      </c>
      <c r="B907" s="241">
        <v>-0.0026889797224125592</v>
      </c>
      <c r="C907" s="241">
        <v>0.003</v>
      </c>
      <c r="D907" s="241">
        <v>3.1102027758744084E-4</v>
      </c>
      <c r="E907" s="241">
        <v>7.120803062497165E-4</v>
      </c>
      <c r="F907" s="247">
        <v>6.050421418535052</v>
      </c>
      <c r="G907" s="246">
        <v>68.7098028797328</v>
      </c>
      <c r="H907" s="138">
        <v>7246.285000000001</v>
      </c>
      <c r="I907" s="247">
        <v>0.0</v>
      </c>
      <c r="J907" s="128">
        <v>43981.85</v>
      </c>
    </row>
    <row r="908">
      <c r="A908" s="245">
        <v>42347.0</v>
      </c>
      <c r="B908" s="241">
        <v>-0.0026779058880375462</v>
      </c>
      <c r="C908" s="241">
        <v>0.0029615384615384608</v>
      </c>
      <c r="D908" s="241">
        <v>2.8363257350091323E-4</v>
      </c>
      <c r="E908" s="248">
        <v>7.120803062497165E-4</v>
      </c>
      <c r="F908" s="247">
        <v>6.050421418535024</v>
      </c>
      <c r="G908" s="246">
        <v>62.65938146119775</v>
      </c>
      <c r="H908" s="247">
        <v>6791.405000000001</v>
      </c>
      <c r="I908" s="247">
        <v>0.0</v>
      </c>
      <c r="J908" s="128">
        <v>41558.482</v>
      </c>
    </row>
    <row r="909">
      <c r="A909" s="245">
        <v>42346.0</v>
      </c>
      <c r="B909" s="241">
        <v>-0.0026668320536625354</v>
      </c>
      <c r="C909" s="241">
        <v>0.0029230769230769223</v>
      </c>
      <c r="D909" s="241">
        <v>2.562448694143857E-4</v>
      </c>
      <c r="E909" s="248">
        <v>7.120803062497165E-4</v>
      </c>
      <c r="F909" s="247">
        <v>6.050421418535024</v>
      </c>
      <c r="G909" s="246">
        <v>56.60896004266273</v>
      </c>
      <c r="H909" s="247">
        <v>6791.405000000001</v>
      </c>
      <c r="I909" s="247">
        <v>0.0</v>
      </c>
      <c r="J909" s="128">
        <v>42018.119999999995</v>
      </c>
    </row>
    <row r="910">
      <c r="A910" s="245">
        <v>42345.0</v>
      </c>
      <c r="B910" s="241">
        <v>-0.0026557582192875246</v>
      </c>
      <c r="C910" s="241">
        <v>0.002884615384615384</v>
      </c>
      <c r="D910" s="241">
        <v>2.288571653278581E-4</v>
      </c>
      <c r="E910" s="248">
        <v>7.120803062497165E-4</v>
      </c>
      <c r="F910" s="247">
        <v>6.050421418535024</v>
      </c>
      <c r="G910" s="246">
        <v>50.558538624127706</v>
      </c>
      <c r="H910" s="247">
        <v>6791.405000000001</v>
      </c>
      <c r="I910" s="247">
        <v>0.0</v>
      </c>
      <c r="J910" s="128">
        <v>42217.183999999994</v>
      </c>
    </row>
    <row r="911">
      <c r="A911" s="245">
        <v>42342.0</v>
      </c>
      <c r="B911" s="241">
        <v>-0.0026446843849125138</v>
      </c>
      <c r="C911" s="241">
        <v>0.0028461538461538455</v>
      </c>
      <c r="D911" s="241">
        <v>2.0146946124133055E-4</v>
      </c>
      <c r="E911" s="248">
        <v>7.120803062497165E-4</v>
      </c>
      <c r="F911" s="247">
        <v>6.050421418535024</v>
      </c>
      <c r="G911" s="246">
        <v>44.50811720559268</v>
      </c>
      <c r="H911" s="247">
        <v>6791.405000000001</v>
      </c>
      <c r="I911" s="247">
        <v>0.0</v>
      </c>
      <c r="J911" s="128">
        <v>42307.076</v>
      </c>
    </row>
    <row r="912">
      <c r="A912" s="245">
        <v>42341.0</v>
      </c>
      <c r="B912" s="241">
        <v>-0.002633610550537503</v>
      </c>
      <c r="C912" s="241">
        <v>0.002807692307692307</v>
      </c>
      <c r="D912" s="241">
        <v>1.74081757154803E-4</v>
      </c>
      <c r="E912" s="248">
        <v>7.120803062497165E-4</v>
      </c>
      <c r="F912" s="247">
        <v>6.050421418535024</v>
      </c>
      <c r="G912" s="246">
        <v>38.45769578705766</v>
      </c>
      <c r="H912" s="247">
        <v>6791.405000000001</v>
      </c>
      <c r="I912" s="247">
        <v>0.0</v>
      </c>
      <c r="J912" s="128">
        <v>41501.662000000004</v>
      </c>
    </row>
    <row r="913">
      <c r="A913" s="245">
        <v>42340.0</v>
      </c>
      <c r="B913" s="241">
        <v>-0.002622536716162492</v>
      </c>
      <c r="C913" s="241">
        <v>0.0027692307692307686</v>
      </c>
      <c r="D913" s="241">
        <v>1.4669405306827544E-4</v>
      </c>
      <c r="E913" s="248">
        <v>7.120803062497165E-4</v>
      </c>
      <c r="F913" s="247">
        <v>6.050421418535024</v>
      </c>
      <c r="G913" s="246">
        <v>32.407274368522636</v>
      </c>
      <c r="H913" s="247">
        <v>6791.405000000001</v>
      </c>
      <c r="I913" s="247">
        <v>0.0</v>
      </c>
      <c r="J913" s="128">
        <v>42871.08</v>
      </c>
    </row>
    <row r="914">
      <c r="A914" s="245">
        <v>42339.0</v>
      </c>
      <c r="B914" s="241">
        <v>-0.0026114628817874813</v>
      </c>
      <c r="C914" s="241">
        <v>0.00273076923076923</v>
      </c>
      <c r="D914" s="241">
        <v>1.1930634898174788E-4</v>
      </c>
      <c r="E914" s="248">
        <v>7.120803062497165E-4</v>
      </c>
      <c r="F914" s="247">
        <v>6.050421418535024</v>
      </c>
      <c r="G914" s="246">
        <v>26.356852949987612</v>
      </c>
      <c r="H914" s="247">
        <v>6791.405000000001</v>
      </c>
      <c r="I914" s="247">
        <v>0.0</v>
      </c>
      <c r="J914" s="128">
        <v>42982.829999999994</v>
      </c>
    </row>
    <row r="915">
      <c r="A915" s="245">
        <v>42338.0</v>
      </c>
      <c r="B915" s="241">
        <v>-0.0026003890474124705</v>
      </c>
      <c r="C915" s="241">
        <v>0.0026923076923076918</v>
      </c>
      <c r="D915" s="241">
        <v>9.191864489522032E-5</v>
      </c>
      <c r="E915" s="248">
        <v>7.120803062497165E-4</v>
      </c>
      <c r="F915" s="247">
        <v>6.050421418535027</v>
      </c>
      <c r="G915" s="246">
        <v>20.30643153145259</v>
      </c>
      <c r="H915" s="247">
        <v>6791.405000000001</v>
      </c>
      <c r="I915" s="247">
        <v>0.0</v>
      </c>
      <c r="J915" s="128">
        <v>43095.864</v>
      </c>
    </row>
    <row r="916">
      <c r="A916" s="245">
        <v>42335.0</v>
      </c>
      <c r="B916" s="241">
        <v>-0.0025893152130374597</v>
      </c>
      <c r="C916" s="241">
        <v>0.0026538461538461533</v>
      </c>
      <c r="D916" s="241">
        <v>6.453094080869277E-5</v>
      </c>
      <c r="E916" s="248">
        <v>7.120803062497165E-4</v>
      </c>
      <c r="F916" s="247">
        <v>6.050421418535025</v>
      </c>
      <c r="G916" s="246">
        <v>14.256010112917561</v>
      </c>
      <c r="H916" s="247">
        <v>6791.405000000001</v>
      </c>
      <c r="I916" s="247">
        <v>0.0</v>
      </c>
      <c r="J916" s="128">
        <v>42783.1</v>
      </c>
    </row>
    <row r="917">
      <c r="A917" s="245">
        <v>42334.0</v>
      </c>
      <c r="B917" s="241">
        <v>-0.002578241378662449</v>
      </c>
      <c r="C917" s="241">
        <v>0.002615384615384615</v>
      </c>
      <c r="D917" s="241">
        <v>3.714323672216522E-5</v>
      </c>
      <c r="E917" s="248">
        <v>7.120803062497165E-4</v>
      </c>
      <c r="F917" s="247">
        <v>6.050421418535025</v>
      </c>
      <c r="G917" s="246">
        <v>8.205588694382536</v>
      </c>
      <c r="H917" s="247">
        <v>6791.405000000001</v>
      </c>
      <c r="I917" s="247">
        <v>0.0</v>
      </c>
      <c r="J917" s="128">
        <v>43130.956</v>
      </c>
    </row>
    <row r="918">
      <c r="A918" s="245">
        <v>42333.0</v>
      </c>
      <c r="B918" s="241">
        <v>-0.002567167544287438</v>
      </c>
      <c r="C918" s="241">
        <v>0.0025769230769230765</v>
      </c>
      <c r="D918" s="241">
        <v>9.75553263563766E-6</v>
      </c>
      <c r="E918" s="248">
        <v>7.120803062497165E-4</v>
      </c>
      <c r="F918" s="247">
        <v>6.050421418535025</v>
      </c>
      <c r="G918" s="246">
        <v>2.1551672758475107</v>
      </c>
      <c r="H918" s="247">
        <v>6791.405000000001</v>
      </c>
      <c r="I918" s="247">
        <v>0.0</v>
      </c>
      <c r="J918" s="128">
        <v>43090.298</v>
      </c>
    </row>
    <row r="919">
      <c r="A919" s="245">
        <v>42332.0</v>
      </c>
      <c r="B919" s="241">
        <v>-0.002556093709912427</v>
      </c>
      <c r="C919" s="241">
        <v>0.002538461538461538</v>
      </c>
      <c r="D919" s="241">
        <v>-1.7632171450889896E-5</v>
      </c>
      <c r="E919" s="248">
        <v>7.120803062497165E-4</v>
      </c>
      <c r="F919" s="247">
        <v>6.050421418535025</v>
      </c>
      <c r="G919" s="246">
        <v>-3.8952541426875147</v>
      </c>
      <c r="H919" s="247">
        <v>6791.405000000001</v>
      </c>
      <c r="I919" s="247">
        <v>0.0</v>
      </c>
      <c r="J919" s="128">
        <v>43038.876</v>
      </c>
    </row>
    <row r="920">
      <c r="A920" s="245">
        <v>42331.0</v>
      </c>
      <c r="B920" s="241">
        <v>-0.0025450198755374164</v>
      </c>
      <c r="C920" s="241">
        <v>0.0024999999999999996</v>
      </c>
      <c r="D920" s="241">
        <v>-4.501987553741745E-5</v>
      </c>
      <c r="E920" s="248">
        <v>7.120803062497165E-4</v>
      </c>
      <c r="F920" s="247">
        <v>6.050421418535025</v>
      </c>
      <c r="G920" s="246">
        <v>-9.94567556122254</v>
      </c>
      <c r="H920" s="247">
        <v>6791.405000000001</v>
      </c>
      <c r="I920" s="247">
        <v>0.0</v>
      </c>
      <c r="J920" s="128">
        <v>43003.382</v>
      </c>
    </row>
    <row r="921">
      <c r="A921" s="245">
        <v>42328.0</v>
      </c>
      <c r="B921" s="241">
        <v>-0.0025339460411624055</v>
      </c>
      <c r="C921" s="241">
        <v>0.002461538461538461</v>
      </c>
      <c r="D921" s="241">
        <v>-7.2407579623945E-5</v>
      </c>
      <c r="E921" s="248">
        <v>7.120803062497165E-4</v>
      </c>
      <c r="F921" s="247">
        <v>6.050421418535025</v>
      </c>
      <c r="G921" s="246">
        <v>-15.996096979757565</v>
      </c>
      <c r="H921" s="247">
        <v>6791.405000000001</v>
      </c>
      <c r="I921" s="247">
        <v>0.0</v>
      </c>
      <c r="J921" s="128">
        <v>43076.581999999995</v>
      </c>
    </row>
    <row r="922">
      <c r="A922" s="245">
        <v>42327.0</v>
      </c>
      <c r="B922" s="241">
        <v>-0.0025228722067873947</v>
      </c>
      <c r="C922" s="241">
        <v>0.0024230769230769228</v>
      </c>
      <c r="D922" s="241">
        <v>-9.979528371047256E-5</v>
      </c>
      <c r="E922" s="248">
        <v>7.120803062497165E-4</v>
      </c>
      <c r="F922" s="247">
        <v>6.050421418535024</v>
      </c>
      <c r="G922" s="246">
        <v>-22.04651839829259</v>
      </c>
      <c r="H922" s="247">
        <v>6791.405000000001</v>
      </c>
      <c r="I922" s="247">
        <v>0.0</v>
      </c>
      <c r="J922" s="128">
        <v>42805.324</v>
      </c>
    </row>
    <row r="923">
      <c r="A923" s="245">
        <v>42326.0</v>
      </c>
      <c r="B923" s="241">
        <v>-0.002511798372412384</v>
      </c>
      <c r="C923" s="241">
        <v>0.0023846153846153843</v>
      </c>
      <c r="D923" s="241">
        <v>-1.271829877970001E-4</v>
      </c>
      <c r="E923" s="248">
        <v>7.120803062497165E-4</v>
      </c>
      <c r="F923" s="247">
        <v>6.050421418535024</v>
      </c>
      <c r="G923" s="246">
        <v>-28.096939816827614</v>
      </c>
      <c r="H923" s="247">
        <v>6791.405000000001</v>
      </c>
      <c r="I923" s="247">
        <v>0.0</v>
      </c>
      <c r="J923" s="128">
        <v>42784.856</v>
      </c>
    </row>
    <row r="924">
      <c r="A924" s="245">
        <v>42325.0</v>
      </c>
      <c r="B924" s="241">
        <v>-0.002500724538037373</v>
      </c>
      <c r="C924" s="241">
        <v>0.002346153846153846</v>
      </c>
      <c r="D924" s="241">
        <v>-1.5457069188352766E-4</v>
      </c>
      <c r="E924" s="248">
        <v>7.120803062497165E-4</v>
      </c>
      <c r="F924" s="247">
        <v>6.050421418535024</v>
      </c>
      <c r="G924" s="246">
        <v>-34.14736123536264</v>
      </c>
      <c r="H924" s="247">
        <v>6791.405000000001</v>
      </c>
      <c r="I924" s="247">
        <v>0.0</v>
      </c>
      <c r="J924" s="128">
        <v>42882.655999999995</v>
      </c>
    </row>
    <row r="925">
      <c r="A925" s="245">
        <v>42324.0</v>
      </c>
      <c r="B925" s="241">
        <v>-0.0024896507036623623</v>
      </c>
      <c r="C925" s="241">
        <v>0.0023076923076923075</v>
      </c>
      <c r="D925" s="241">
        <v>-1.8195839597005522E-4</v>
      </c>
      <c r="E925" s="248">
        <v>7.120803062497165E-4</v>
      </c>
      <c r="F925" s="247">
        <v>6.050421418535024</v>
      </c>
      <c r="G925" s="246">
        <v>-40.19778265389766</v>
      </c>
      <c r="H925" s="247">
        <v>6791.405000000001</v>
      </c>
      <c r="I925" s="247">
        <v>0.0</v>
      </c>
      <c r="J925" s="128">
        <v>42801.334</v>
      </c>
    </row>
    <row r="926">
      <c r="A926" s="245">
        <v>42321.0</v>
      </c>
      <c r="B926" s="241">
        <v>-0.0024785768692873514</v>
      </c>
      <c r="C926" s="241">
        <v>0.002269230769230769</v>
      </c>
      <c r="D926" s="241">
        <v>-2.0934610005658277E-4</v>
      </c>
      <c r="E926" s="248">
        <v>7.120803062497165E-4</v>
      </c>
      <c r="F926" s="247">
        <v>6.050421418535024</v>
      </c>
      <c r="G926" s="246">
        <v>-46.248204072432685</v>
      </c>
      <c r="H926" s="247">
        <v>6791.405000000001</v>
      </c>
      <c r="I926" s="247">
        <v>0.0</v>
      </c>
      <c r="J926" s="128">
        <v>42741.464</v>
      </c>
    </row>
    <row r="927">
      <c r="A927" s="245">
        <v>42320.0</v>
      </c>
      <c r="B927" s="241">
        <v>-0.0024675030349123406</v>
      </c>
      <c r="C927" s="241">
        <v>0.0022307692307692306</v>
      </c>
      <c r="D927" s="241">
        <v>-2.3673380414311032E-4</v>
      </c>
      <c r="E927" s="248">
        <v>7.120803062497165E-4</v>
      </c>
      <c r="F927" s="247">
        <v>6.050421418535024</v>
      </c>
      <c r="G927" s="246">
        <v>-52.29862549096771</v>
      </c>
      <c r="H927" s="247">
        <v>6791.405000000001</v>
      </c>
      <c r="I927" s="247">
        <v>0.0</v>
      </c>
      <c r="J927" s="128">
        <v>42561.76000000001</v>
      </c>
    </row>
    <row r="928">
      <c r="A928" s="245">
        <v>42319.0</v>
      </c>
      <c r="B928" s="241">
        <v>-0.00245642920053733</v>
      </c>
      <c r="C928" s="241">
        <v>0.002192307692307692</v>
      </c>
      <c r="D928" s="241">
        <v>-2.641215082296379E-4</v>
      </c>
      <c r="E928" s="248">
        <v>7.120803062497165E-4</v>
      </c>
      <c r="F928" s="247">
        <v>6.050421418535024</v>
      </c>
      <c r="G928" s="246">
        <v>-58.34904690950273</v>
      </c>
      <c r="H928" s="247">
        <v>6791.405000000001</v>
      </c>
      <c r="I928" s="247">
        <v>0.0</v>
      </c>
      <c r="J928" s="128">
        <v>42919.37</v>
      </c>
    </row>
    <row r="929">
      <c r="A929" s="245">
        <v>42318.0</v>
      </c>
      <c r="B929" s="241">
        <v>-0.002445355366162319</v>
      </c>
      <c r="C929" s="241">
        <v>0.0021538461538461538</v>
      </c>
      <c r="D929" s="241">
        <v>-2.915092123161654E-4</v>
      </c>
      <c r="E929" s="248">
        <v>7.120803062497165E-4</v>
      </c>
      <c r="F929" s="247">
        <v>6.050421418535024</v>
      </c>
      <c r="G929" s="246">
        <v>-64.39946832803776</v>
      </c>
      <c r="H929" s="247">
        <v>6791.405000000001</v>
      </c>
      <c r="I929" s="247">
        <v>0.0</v>
      </c>
      <c r="J929" s="128">
        <v>43305.664000000004</v>
      </c>
    </row>
    <row r="930">
      <c r="A930" s="245">
        <v>42317.0</v>
      </c>
      <c r="B930" s="241">
        <v>-0.002434281531787308</v>
      </c>
      <c r="C930" s="241">
        <v>0.0021153846153846153</v>
      </c>
      <c r="D930" s="241">
        <v>-3.18896916402693E-4</v>
      </c>
      <c r="E930" s="248">
        <v>7.120803062497165E-4</v>
      </c>
      <c r="F930" s="247">
        <v>6.050421418535024</v>
      </c>
      <c r="G930" s="246">
        <v>-70.44988974657278</v>
      </c>
      <c r="H930" s="247">
        <v>6791.405000000001</v>
      </c>
      <c r="I930" s="247">
        <v>0.0</v>
      </c>
      <c r="J930" s="128">
        <v>42909.178</v>
      </c>
    </row>
    <row r="931">
      <c r="A931" s="245">
        <v>42314.0</v>
      </c>
      <c r="B931" s="241">
        <v>-0.0024232076974122973</v>
      </c>
      <c r="C931" s="241">
        <v>0.002076923076923077</v>
      </c>
      <c r="D931" s="241">
        <v>-3.4628462048922053E-4</v>
      </c>
      <c r="E931" s="248">
        <v>7.120803062497165E-4</v>
      </c>
      <c r="F931" s="247">
        <v>6.050421418535024</v>
      </c>
      <c r="G931" s="246">
        <v>-76.5003111651078</v>
      </c>
      <c r="H931" s="247">
        <v>6791.405000000001</v>
      </c>
      <c r="I931" s="247">
        <v>0.0</v>
      </c>
      <c r="J931" s="128">
        <v>42997.746</v>
      </c>
    </row>
    <row r="932">
      <c r="A932" s="245">
        <v>42313.0</v>
      </c>
      <c r="B932" s="241">
        <v>-0.0024121338630372865</v>
      </c>
      <c r="C932" s="241">
        <v>0.0020384615384615385</v>
      </c>
      <c r="D932" s="241">
        <v>-3.736723245757481E-4</v>
      </c>
      <c r="E932" s="248">
        <v>7.120803062497165E-4</v>
      </c>
      <c r="F932" s="247">
        <v>6.050421418535024</v>
      </c>
      <c r="G932" s="246">
        <v>-82.55073258364283</v>
      </c>
      <c r="H932" s="247">
        <v>6791.405000000001</v>
      </c>
      <c r="I932" s="247">
        <v>0.0</v>
      </c>
      <c r="J932" s="128">
        <v>40739.58</v>
      </c>
    </row>
    <row r="933">
      <c r="A933" s="245">
        <v>42312.0</v>
      </c>
      <c r="B933" s="28">
        <v>-0.0024010600286622757</v>
      </c>
      <c r="C933" s="28">
        <v>0.002</v>
      </c>
      <c r="D933" s="173">
        <v>-4.0106002866227564E-4</v>
      </c>
      <c r="E933" s="173">
        <v>0.002510353508606969</v>
      </c>
      <c r="F933" s="247">
        <v>277.29043275375744</v>
      </c>
      <c r="G933" s="246">
        <v>-88.60115400217785</v>
      </c>
      <c r="H933" s="247">
        <v>6791.405000000001</v>
      </c>
      <c r="I933" s="247">
        <v>0.0</v>
      </c>
      <c r="J933" s="128">
        <v>40961.0</v>
      </c>
    </row>
    <row r="934">
      <c r="A934" s="245">
        <v>42311.0</v>
      </c>
      <c r="B934" s="241">
        <v>-0.00315623678296576</v>
      </c>
      <c r="C934" s="241">
        <v>0.0015</v>
      </c>
      <c r="D934" s="241">
        <v>-0.00165623678296576</v>
      </c>
      <c r="E934" s="241">
        <v>0.002510353508606969</v>
      </c>
      <c r="F934" s="247">
        <v>277.29043275375744</v>
      </c>
      <c r="G934" s="246">
        <v>-365.8915867559353</v>
      </c>
      <c r="H934" s="247">
        <v>6791.405000000001</v>
      </c>
      <c r="I934" s="247">
        <v>0.0</v>
      </c>
      <c r="J934" s="128">
        <v>40891.66</v>
      </c>
    </row>
    <row r="935">
      <c r="A935" s="245">
        <v>42310.0</v>
      </c>
      <c r="B935" s="28">
        <v>-0.003911413537269245</v>
      </c>
      <c r="C935" s="28">
        <v>0.001</v>
      </c>
      <c r="D935" s="173">
        <v>-0.0029114135372692446</v>
      </c>
      <c r="E935" s="173">
        <v>-0.0029114135372692446</v>
      </c>
      <c r="F935" s="247">
        <v>-128.6364039019386</v>
      </c>
      <c r="G935" s="246">
        <v>-643.1820195096927</v>
      </c>
      <c r="H935" s="247">
        <v>6791.405000000001</v>
      </c>
      <c r="I935" s="247">
        <v>0.0</v>
      </c>
      <c r="J935" s="128">
        <v>40874.619999999995</v>
      </c>
    </row>
    <row r="936">
      <c r="A936" s="245">
        <v>42307.0</v>
      </c>
      <c r="B936" s="241">
        <v>-0.0031291308298153956</v>
      </c>
      <c r="C936" s="241">
        <v>8.0E-4</v>
      </c>
      <c r="D936" s="241">
        <v>-0.0023291308298153957</v>
      </c>
      <c r="E936" s="248">
        <v>-0.0029114135372692446</v>
      </c>
      <c r="F936" s="247">
        <v>-128.63640390193854</v>
      </c>
      <c r="G936" s="246">
        <v>-514.5456156077541</v>
      </c>
      <c r="H936" s="138">
        <v>0.0</v>
      </c>
      <c r="I936" s="247">
        <v>0.0</v>
      </c>
      <c r="J936" s="128">
        <v>41021.030000000006</v>
      </c>
    </row>
    <row r="937">
      <c r="A937" s="245">
        <v>42306.0</v>
      </c>
      <c r="B937" s="241">
        <v>-0.0023468481223615466</v>
      </c>
      <c r="C937" s="241">
        <v>6.000000000000001E-4</v>
      </c>
      <c r="D937" s="241">
        <v>-0.0017468481223615467</v>
      </c>
      <c r="E937" s="248">
        <v>-0.0029114135372692446</v>
      </c>
      <c r="F937" s="247">
        <v>-128.63640390193854</v>
      </c>
      <c r="G937" s="246">
        <v>-385.9092117058156</v>
      </c>
      <c r="H937" s="138">
        <v>0.0</v>
      </c>
      <c r="I937" s="247">
        <v>0.0</v>
      </c>
      <c r="J937" s="128">
        <v>41408.369999999995</v>
      </c>
    </row>
    <row r="938">
      <c r="A938" s="245">
        <v>42305.0</v>
      </c>
      <c r="B938" s="241">
        <v>-0.0015645654149076978</v>
      </c>
      <c r="C938" s="241">
        <v>4.0E-4</v>
      </c>
      <c r="D938" s="241">
        <v>-0.0011645654149076978</v>
      </c>
      <c r="E938" s="248">
        <v>-0.0029114135372692446</v>
      </c>
      <c r="F938" s="247">
        <v>-128.63640390193854</v>
      </c>
      <c r="G938" s="246">
        <v>-257.2728078038771</v>
      </c>
      <c r="H938" s="138">
        <v>0.0</v>
      </c>
      <c r="I938" s="247">
        <v>0.0</v>
      </c>
      <c r="J938" s="128">
        <v>41785.67</v>
      </c>
    </row>
    <row r="939">
      <c r="A939" s="245">
        <v>42304.0</v>
      </c>
      <c r="B939" s="241">
        <v>-7.822827074538489E-4</v>
      </c>
      <c r="C939" s="241">
        <v>2.0E-4</v>
      </c>
      <c r="D939" s="241">
        <v>-5.822827074538489E-4</v>
      </c>
      <c r="E939" s="248">
        <v>-0.0029114135372692446</v>
      </c>
      <c r="F939" s="247">
        <v>-128.63640390193854</v>
      </c>
      <c r="G939" s="246">
        <v>-128.63640390193854</v>
      </c>
      <c r="H939" s="138">
        <v>0.0</v>
      </c>
      <c r="I939" s="247">
        <v>0.0</v>
      </c>
      <c r="J939" s="128">
        <v>41581.969999999994</v>
      </c>
    </row>
    <row r="940">
      <c r="A940" s="245">
        <v>42303.0</v>
      </c>
      <c r="B940" s="241">
        <v>0.0</v>
      </c>
      <c r="C940" s="241">
        <v>0.0</v>
      </c>
      <c r="D940" s="241">
        <v>0.0</v>
      </c>
      <c r="E940" s="241">
        <v>0.0</v>
      </c>
      <c r="F940" s="247">
        <v>0.0</v>
      </c>
      <c r="G940" s="246">
        <v>0.0</v>
      </c>
      <c r="H940" s="138">
        <v>0.0</v>
      </c>
      <c r="I940" s="247">
        <v>0.0</v>
      </c>
      <c r="J940" s="128">
        <v>41571.39000000001</v>
      </c>
    </row>
  </sheetData>
  <conditionalFormatting sqref="E2:E940">
    <cfRule type="cellIs" dxfId="13" priority="1" operator="greaterThanOrEqual">
      <formula>0</formula>
    </cfRule>
  </conditionalFormatting>
  <conditionalFormatting sqref="E2:E940">
    <cfRule type="cellIs" dxfId="14" priority="2" operator="lessThan">
      <formula>0</formula>
    </cfRule>
  </conditionalFormatting>
  <conditionalFormatting sqref="B1:D940 G1:J940">
    <cfRule type="expression" dxfId="15" priority="3">
      <formula>B1=MAX(B:B)</formula>
    </cfRule>
  </conditionalFormatting>
  <drawing r:id="rId2"/>
  <legacyDrawing r:id="rId3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9900"/>
    <outlinePr summaryBelow="0" summaryRight="0"/>
  </sheetPr>
  <sheetViews>
    <sheetView workbookViewId="0"/>
  </sheetViews>
  <sheetFormatPr customHeight="1" defaultColWidth="14.43" defaultRowHeight="12.75"/>
  <cols>
    <col customWidth="1" min="1" max="1" width="31.43"/>
    <col customWidth="1" min="2" max="2" width="23.57"/>
  </cols>
  <sheetData>
    <row r="1">
      <c r="A1" s="250" t="s">
        <v>624</v>
      </c>
    </row>
    <row r="2">
      <c r="A2" s="251" t="s">
        <v>56</v>
      </c>
      <c r="B2" s="253">
        <f>Dashboard!$B34</f>
        <v>723733.701</v>
      </c>
    </row>
    <row r="3">
      <c r="A3" s="251" t="s">
        <v>625</v>
      </c>
      <c r="B3" s="32">
        <f>Dashboard!$B35</f>
        <v>-419659.39</v>
      </c>
    </row>
    <row r="4">
      <c r="A4" s="251" t="s">
        <v>627</v>
      </c>
      <c r="B4" s="253">
        <f>B2+B3</f>
        <v>304074.311</v>
      </c>
    </row>
    <row r="5">
      <c r="A5" s="251" t="s">
        <v>628</v>
      </c>
      <c r="B5" s="32">
        <f>-B3+B4-B4*2</f>
        <v>115585.079</v>
      </c>
    </row>
    <row r="6">
      <c r="A6" s="255" t="s">
        <v>624</v>
      </c>
      <c r="B6" s="256">
        <f>B4-B5</f>
        <v>188489.232</v>
      </c>
    </row>
    <row r="7">
      <c r="A7" s="257" t="s">
        <v>632</v>
      </c>
      <c r="B7" s="227"/>
    </row>
    <row r="8">
      <c r="A8" s="251" t="s">
        <v>633</v>
      </c>
      <c r="B8" s="253">
        <f>B2*0.7</f>
        <v>506613.5907</v>
      </c>
    </row>
    <row r="9">
      <c r="A9" s="251" t="s">
        <v>625</v>
      </c>
      <c r="B9" s="32">
        <f>B3</f>
        <v>-419659.39</v>
      </c>
    </row>
    <row r="10">
      <c r="A10" s="255" t="s">
        <v>632</v>
      </c>
      <c r="B10" s="256">
        <f>B8+B9</f>
        <v>86954.2007</v>
      </c>
    </row>
    <row r="11">
      <c r="A11" s="258" t="s">
        <v>635</v>
      </c>
      <c r="B11" s="259">
        <f>B10</f>
        <v>86954.2007</v>
      </c>
    </row>
    <row r="12">
      <c r="A12" s="255" t="s">
        <v>636</v>
      </c>
      <c r="B12" s="260">
        <v>510000.0</v>
      </c>
    </row>
    <row r="13">
      <c r="A13" s="255" t="s">
        <v>638</v>
      </c>
      <c r="B13" s="261">
        <f>ROUNDUP((MIN(-B3,$B$15*2.3)+Investment!$T$7-Investment!$AS$7-Dashboard!$B$20-Dashboard!$B$57)/1000)*1000</f>
        <v>420000</v>
      </c>
    </row>
    <row r="14">
      <c r="A14" s="255" t="s">
        <v>640</v>
      </c>
      <c r="B14" s="260"/>
    </row>
    <row r="15">
      <c r="A15" s="262" t="s">
        <v>641</v>
      </c>
      <c r="B15" s="263">
        <f>Dashboard!$B$46+AVERAGEIFS(Evolution!$G:$G,Evolution!$A:$A,"&gt;"&amp;EOMONTH(DateTime!$B$2,-1),Evolution!$A:$A,"&lt;="&amp;EOMONTH(DateTime!$B$2,0)+1)</f>
        <v>299049.862</v>
      </c>
    </row>
    <row r="16">
      <c r="A16" s="251" t="s">
        <v>643</v>
      </c>
      <c r="B16" s="25">
        <f>$B$15-Dashboard!$B$46</f>
        <v>74193.33199</v>
      </c>
    </row>
    <row r="17">
      <c r="A17" s="251" t="s">
        <v>644</v>
      </c>
      <c r="B17" s="25">
        <f>$B$4+$B$15*2.3</f>
        <v>991888.9936</v>
      </c>
    </row>
  </sheetData>
  <mergeCells count="2">
    <mergeCell ref="A7:B7"/>
    <mergeCell ref="A1:B1"/>
  </mergeCells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9900"/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2.75"/>
  <cols>
    <col customWidth="1" min="1" max="1" width="10.43"/>
    <col customWidth="1" min="2" max="2" width="12.0"/>
    <col customWidth="1" min="3" max="4" width="11.86"/>
    <col customWidth="1" min="5" max="5" width="8.43"/>
    <col customWidth="1" min="6" max="6" width="12.0"/>
    <col customWidth="1" min="7" max="7" width="8.43"/>
    <col customWidth="1" min="8" max="8" width="12.0"/>
    <col customWidth="1" min="9" max="9" width="9.0"/>
    <col customWidth="1" min="10" max="10" width="6.86"/>
    <col customWidth="1" min="11" max="11" width="9.0"/>
    <col customWidth="1" min="12" max="12" width="9.86"/>
    <col customWidth="1" min="13" max="13" width="8.43"/>
    <col customWidth="1" min="14" max="14" width="9.14"/>
    <col customWidth="1" min="15" max="15" width="6.43"/>
  </cols>
  <sheetData>
    <row r="1">
      <c r="A1" s="42" t="s">
        <v>0</v>
      </c>
      <c r="B1" s="1" t="s">
        <v>33</v>
      </c>
      <c r="C1" s="42" t="s">
        <v>651</v>
      </c>
      <c r="D1" s="1" t="s">
        <v>652</v>
      </c>
      <c r="E1" s="1" t="s">
        <v>654</v>
      </c>
      <c r="F1" s="1" t="s">
        <v>286</v>
      </c>
      <c r="G1" s="1" t="s">
        <v>658</v>
      </c>
      <c r="H1" s="1" t="s">
        <v>476</v>
      </c>
      <c r="I1" s="265" t="s">
        <v>659</v>
      </c>
      <c r="J1" s="1" t="s">
        <v>658</v>
      </c>
      <c r="K1" s="1" t="s">
        <v>660</v>
      </c>
      <c r="L1" s="1" t="s">
        <v>285</v>
      </c>
      <c r="M1" s="1" t="s">
        <v>661</v>
      </c>
      <c r="N1" s="1" t="s">
        <v>476</v>
      </c>
      <c r="O1" s="1" t="s">
        <v>658</v>
      </c>
    </row>
    <row r="2">
      <c r="A2" s="122">
        <v>43617.0</v>
      </c>
      <c r="B2" s="128">
        <v>294763.08</v>
      </c>
      <c r="C2" s="128">
        <v>510000.0</v>
      </c>
      <c r="D2" s="128">
        <f>-SUMIFS(Historic!G:G,Historic!A:A,"&lt;="&amp;EOMONTH($A2,0))</f>
        <v>419659.39</v>
      </c>
      <c r="E2" s="243">
        <f t="shared" ref="E2:E3" si="1">IF(C2,D2/C2,0)</f>
        <v>0.822861549</v>
      </c>
      <c r="F2" s="128">
        <f t="shared" ref="F2:F3" si="2">B2+D2</f>
        <v>714422.47</v>
      </c>
      <c r="G2" s="243">
        <f t="shared" ref="G2:G3" si="3">C2/B2</f>
        <v>1.730203118</v>
      </c>
      <c r="H2" s="128">
        <f t="shared" ref="H2:H3" si="4">B2-B3</f>
        <v>7480.21</v>
      </c>
      <c r="I2" s="267">
        <f>IF(MONTH(A2)=MONTH(DateTime!$B$2),Dashboard!$B$57,MIN(MINIFS(Historic!$G:$G,Historic!$D:$D,"COST",Historic!$B:$B,"",Historic!$A:$A,"&gt;=" &amp; DATE(YEAR($A2),MONTH($A2)+1,1),Historic!$A:$A,"&lt;" &amp; DATE(YEAR($A2),MONTH($A2)+2,1)),MINIFS(Historic!$G:$G,Historic!$D:$D,"COST",Historic!$B:$B,"",Historic!$H:$H,"=XXXXXX")))</f>
        <v>-495.84</v>
      </c>
      <c r="J2" s="28">
        <f t="shared" ref="J2:J3" si="5">-I2/C2</f>
        <v>0.0009722352941</v>
      </c>
      <c r="K2" s="128">
        <f t="shared" ref="K2:K3" si="6">$I2*ABS(1-$E2)</f>
        <v>-87.83232953</v>
      </c>
      <c r="L2" s="128">
        <f>SUMIFS(Historic!G:G,Historic!D:D,"=DIVIDEND",Historic!B:B,"&lt;&gt;",Historic!A:A,"&gt;=" &amp; $A2,Historic!A:A,"&lt;=" &amp; EOMONTH($A2,0))</f>
        <v>4908.6</v>
      </c>
      <c r="M2" s="268">
        <f t="shared" ref="M2:M3" si="7">(SUM(OFFSET($L2,0,0,12,1))+SUM(OFFSET($I2,0,0,12,1)))/AVERAGE(OFFSET($B2,0,0,12,1))*$B2/MIN(ROWS(M:M)-ROW()+1,12)</f>
        <v>769.1265769</v>
      </c>
      <c r="N2" s="128">
        <f t="shared" ref="N2:N3" si="8">M2-M3</f>
        <v>205.5667091</v>
      </c>
      <c r="O2" s="243">
        <f t="shared" ref="O2:O3" si="9">M2/B2*12</f>
        <v>0.0313116518</v>
      </c>
    </row>
    <row r="3">
      <c r="A3" s="122">
        <v>43586.0</v>
      </c>
      <c r="B3" s="128">
        <v>287282.87</v>
      </c>
      <c r="C3" s="128">
        <v>497000.0</v>
      </c>
      <c r="D3" s="128">
        <f>-SUMIFS(Historic!G:G,Historic!A:A,"&lt;="&amp;EOMONTH($A3,0))</f>
        <v>422987.49</v>
      </c>
      <c r="E3" s="243">
        <f t="shared" si="1"/>
        <v>0.8510814688</v>
      </c>
      <c r="F3" s="128">
        <f t="shared" si="2"/>
        <v>710270.36</v>
      </c>
      <c r="G3" s="243">
        <f t="shared" si="3"/>
        <v>1.73000221</v>
      </c>
      <c r="H3" s="128">
        <f t="shared" si="4"/>
        <v>12559.09</v>
      </c>
      <c r="I3" s="267">
        <f>IF(MONTH(A3)=MONTH(DateTime!$B$2),Dashboard!$B$57,MIN(MINIFS(Historic!$G:$G,Historic!$D:$D,"COST",Historic!$B:$B,"",Historic!$A:$A,"&gt;=" &amp; DATE(YEAR($A3),MONTH($A3)+1,1),Historic!$A:$A,"&lt;" &amp; DATE(YEAR($A3),MONTH($A3)+2,1)),MINIFS(Historic!$G:$G,Historic!$D:$D,"COST",Historic!$B:$B,"",Historic!$H:$H,"=XXXXXX")))</f>
        <v>-569.48</v>
      </c>
      <c r="J3" s="28">
        <f t="shared" si="5"/>
        <v>0.00114583501</v>
      </c>
      <c r="K3" s="128">
        <f t="shared" si="6"/>
        <v>-84.80612514</v>
      </c>
      <c r="L3" s="128">
        <f>SUMIFS(Historic!G:G,Historic!D:D,"=DIVIDEND",Historic!B:B,"&lt;&gt;",Historic!A:A,"&gt;=" &amp; $A3,Historic!A:A,"&lt;=" &amp; EOMONTH($A3,0))</f>
        <v>0</v>
      </c>
      <c r="M3" s="268">
        <f t="shared" si="7"/>
        <v>563.5598678</v>
      </c>
      <c r="N3" s="128">
        <f t="shared" si="8"/>
        <v>-77.31802344</v>
      </c>
      <c r="O3" s="243">
        <f t="shared" si="9"/>
        <v>0.02354027727</v>
      </c>
    </row>
    <row r="4">
      <c r="A4" s="122">
        <v>43556.0</v>
      </c>
      <c r="B4" s="128">
        <v>274723.78</v>
      </c>
      <c r="C4" s="128">
        <v>526000.0</v>
      </c>
      <c r="D4" s="128">
        <v>451149.23999999993</v>
      </c>
      <c r="E4" s="243">
        <v>0.8550583460076046</v>
      </c>
      <c r="F4" s="128">
        <v>724484.47</v>
      </c>
      <c r="G4" s="243">
        <v>1.910459120082916</v>
      </c>
      <c r="H4" s="128">
        <v>21064.630000000034</v>
      </c>
      <c r="I4" s="267">
        <v>-547.92</v>
      </c>
      <c r="J4" s="28">
        <v>0.0010416730038022813</v>
      </c>
      <c r="K4" s="128">
        <v>-79.41643105551331</v>
      </c>
      <c r="L4" s="128">
        <v>991.07</v>
      </c>
      <c r="M4" s="268">
        <v>640.8778912352756</v>
      </c>
      <c r="N4" s="128">
        <v>21.68433557078663</v>
      </c>
      <c r="O4" s="243">
        <v>0.027932418528591775</v>
      </c>
    </row>
    <row r="5">
      <c r="A5" s="122">
        <v>43525.0</v>
      </c>
      <c r="B5" s="128">
        <v>253659.15</v>
      </c>
      <c r="C5" s="128">
        <v>575000.0</v>
      </c>
      <c r="D5" s="128">
        <v>180908.46999999974</v>
      </c>
      <c r="E5" s="243">
        <v>0.3156924173913044</v>
      </c>
      <c r="F5" s="128">
        <v>435182.29000000004</v>
      </c>
      <c r="G5" s="243">
        <v>2.26682144129238</v>
      </c>
      <c r="H5" s="128">
        <v>6719.779999999999</v>
      </c>
      <c r="I5" s="267">
        <v>-618.92</v>
      </c>
      <c r="J5" s="243">
        <v>0.0010763826086956521</v>
      </c>
      <c r="K5" s="128">
        <v>-423.5316490281739</v>
      </c>
      <c r="L5" s="128">
        <v>0.0</v>
      </c>
      <c r="M5" s="268">
        <v>619.1935556644889</v>
      </c>
      <c r="N5" s="128">
        <v>-139.09586653920076</v>
      </c>
      <c r="O5" s="243">
        <v>0.029292547373015593</v>
      </c>
    </row>
    <row r="6">
      <c r="A6" s="122">
        <v>43497.0</v>
      </c>
      <c r="B6" s="128">
        <v>246939.37</v>
      </c>
      <c r="C6" s="128">
        <v>550000.0</v>
      </c>
      <c r="D6" s="128">
        <v>489979.82999999996</v>
      </c>
      <c r="E6" s="243">
        <v>0.8908941818181818</v>
      </c>
      <c r="F6" s="128">
        <v>736931.1699999999</v>
      </c>
      <c r="G6" s="243">
        <v>2.2272673557229843</v>
      </c>
      <c r="H6" s="128">
        <v>23759.109999999986</v>
      </c>
      <c r="I6" s="267">
        <v>-534.72</v>
      </c>
      <c r="J6" s="28">
        <v>9.722181818181819E-4</v>
      </c>
      <c r="K6" s="128">
        <v>-58.34106309818183</v>
      </c>
      <c r="L6" s="128">
        <v>0.0</v>
      </c>
      <c r="M6" s="268">
        <v>758.2894222036897</v>
      </c>
      <c r="N6" s="128">
        <v>-32.32983794025404</v>
      </c>
      <c r="O6" s="243">
        <f>M6/B6*12</f>
        <v>0.03684901709</v>
      </c>
    </row>
    <row r="7">
      <c r="A7" s="122">
        <v>43466.0</v>
      </c>
      <c r="B7" s="128">
        <v>223180.26</v>
      </c>
      <c r="C7" s="128">
        <v>525000.0</v>
      </c>
      <c r="D7" s="128">
        <v>509828.5100000002</v>
      </c>
      <c r="E7" s="243">
        <v>0.9711247238095237</v>
      </c>
      <c r="F7" s="128">
        <v>733020.74</v>
      </c>
      <c r="G7" s="243">
        <v>2.351834046782095</v>
      </c>
      <c r="H7" s="128">
        <v>-13416.279999999999</v>
      </c>
      <c r="I7" s="267">
        <v>-565.1</v>
      </c>
      <c r="J7" s="28">
        <v>0.0010763809523809524</v>
      </c>
      <c r="K7" s="128">
        <v>-16.31741857523813</v>
      </c>
      <c r="L7" s="128">
        <v>996.28</v>
      </c>
      <c r="M7" s="268">
        <v>790.6192601439437</v>
      </c>
      <c r="N7" s="128">
        <v>-137.49670388290565</v>
      </c>
      <c r="O7" s="243">
        <v>0.04250069243538736</v>
      </c>
    </row>
    <row r="8">
      <c r="A8" s="122">
        <v>43435.0</v>
      </c>
      <c r="B8" s="128">
        <v>236596.54</v>
      </c>
      <c r="C8" s="128">
        <v>531000.0</v>
      </c>
      <c r="D8" s="128">
        <v>499978.73000000004</v>
      </c>
      <c r="E8" s="243">
        <v>0.9416016384180791</v>
      </c>
      <c r="F8" s="128">
        <v>736587.01</v>
      </c>
      <c r="G8" s="243">
        <v>2.2443269433346544</v>
      </c>
      <c r="H8" s="128">
        <v>6895.130000000005</v>
      </c>
      <c r="I8" s="267">
        <v>-534.69</v>
      </c>
      <c r="J8" s="28">
        <v>0.0010561179116970077</v>
      </c>
      <c r="K8" s="128">
        <v>-31.225019954237293</v>
      </c>
      <c r="L8" s="128">
        <v>4248.66</v>
      </c>
      <c r="M8" s="268">
        <v>928.1159640268494</v>
      </c>
      <c r="N8" s="128">
        <v>470.10887452315757</v>
      </c>
      <c r="O8" s="243">
        <v>0.0470733483526435</v>
      </c>
    </row>
    <row r="9">
      <c r="A9" s="122">
        <v>43405.0</v>
      </c>
      <c r="B9" s="128">
        <v>229701.41</v>
      </c>
      <c r="C9" s="128">
        <v>521000.0</v>
      </c>
      <c r="D9" s="128">
        <v>510971.13999999996</v>
      </c>
      <c r="E9" s="243">
        <v>0.9807732821497122</v>
      </c>
      <c r="F9" s="128">
        <v>740684.29</v>
      </c>
      <c r="G9" s="243">
        <v>2.266648927927264</v>
      </c>
      <c r="H9" s="128">
        <v>89.47000000000116</v>
      </c>
      <c r="I9" s="267">
        <v>-579.07</v>
      </c>
      <c r="J9" s="28">
        <v>0.0011114587332053743</v>
      </c>
      <c r="K9" s="128">
        <v>-11.133615505566183</v>
      </c>
      <c r="L9" s="128">
        <v>1458.27</v>
      </c>
      <c r="M9" s="268">
        <v>458.0070895036918</v>
      </c>
      <c r="N9" s="128">
        <v>96.96585853904168</v>
      </c>
      <c r="O9" s="243">
        <v>0.023911123494970352</v>
      </c>
    </row>
    <row r="10">
      <c r="A10" s="122">
        <v>43374.0</v>
      </c>
      <c r="B10" s="128">
        <v>229611.94</v>
      </c>
      <c r="C10" s="128">
        <v>515000.0</v>
      </c>
      <c r="D10" s="128">
        <v>490106.88</v>
      </c>
      <c r="E10" s="243">
        <v>0.9516768155339805</v>
      </c>
      <c r="F10" s="128">
        <v>719725.5</v>
      </c>
      <c r="G10" s="243">
        <v>2.2429297627633606</v>
      </c>
      <c r="H10" s="128">
        <v>-10329.75</v>
      </c>
      <c r="I10" s="267">
        <v>-555.0</v>
      </c>
      <c r="J10" s="28">
        <v>0.0010776699029126213</v>
      </c>
      <c r="K10" s="128">
        <v>-26.819367378640802</v>
      </c>
      <c r="L10" s="128">
        <v>888.6500000000001</v>
      </c>
      <c r="M10" s="268">
        <v>361.04123096465014</v>
      </c>
      <c r="N10" s="128">
        <v>-80.95374132838032</v>
      </c>
      <c r="O10" s="243">
        <v>0.018868896058609735</v>
      </c>
    </row>
    <row r="11">
      <c r="A11" s="122">
        <v>43344.0</v>
      </c>
      <c r="B11" s="128">
        <v>239941.69</v>
      </c>
      <c r="C11" s="128">
        <v>515000.0</v>
      </c>
      <c r="D11" s="128">
        <v>510072.7700000002</v>
      </c>
      <c r="E11" s="243">
        <v>0.9904460194174758</v>
      </c>
      <c r="F11" s="128">
        <v>750021.39</v>
      </c>
      <c r="G11" s="243">
        <v>2.148619487966229</v>
      </c>
      <c r="H11" s="128">
        <v>16250.600000000006</v>
      </c>
      <c r="I11" s="267">
        <v>-501.62</v>
      </c>
      <c r="J11" s="28">
        <v>9.740194174757282E-4</v>
      </c>
      <c r="K11" s="128">
        <v>-4.7924677398057955</v>
      </c>
      <c r="L11" s="128">
        <v>78.54</v>
      </c>
      <c r="M11" s="268">
        <v>441.99497229303046</v>
      </c>
      <c r="N11" s="128">
        <v>-126.05229262694064</v>
      </c>
      <c r="O11" s="243">
        <v>0.02214994777963612</v>
      </c>
    </row>
    <row r="12">
      <c r="A12" s="122">
        <v>43313.0</v>
      </c>
      <c r="B12" s="128">
        <v>223691.09</v>
      </c>
      <c r="C12" s="128">
        <v>481000.0</v>
      </c>
      <c r="D12" s="128">
        <v>513131.02000000025</v>
      </c>
      <c r="E12" s="243">
        <v>1.0643614760914761</v>
      </c>
      <c r="F12" s="128">
        <v>735648.96</v>
      </c>
      <c r="G12" s="243">
        <v>2.150960585011194</v>
      </c>
      <c r="H12" s="128">
        <v>106905.83999999997</v>
      </c>
      <c r="I12" s="267">
        <v>-573.99</v>
      </c>
      <c r="J12" s="28">
        <v>0.0011933264033264033</v>
      </c>
      <c r="K12" s="128">
        <v>-36.94284366174639</v>
      </c>
      <c r="L12" s="128">
        <v>0.0</v>
      </c>
      <c r="M12" s="268">
        <v>568.0472649199711</v>
      </c>
      <c r="N12" s="128">
        <v>138.47250426253692</v>
      </c>
      <c r="O12" s="243">
        <v>0.030482676355915256</v>
      </c>
    </row>
    <row r="13">
      <c r="A13" s="122">
        <v>43282.0</v>
      </c>
      <c r="B13" s="128">
        <v>116785.25000000003</v>
      </c>
      <c r="C13" s="128">
        <v>445000.0</v>
      </c>
      <c r="D13" s="128">
        <v>481051.47999999986</v>
      </c>
      <c r="E13" s="243">
        <v>1.0810301348314606</v>
      </c>
      <c r="F13" s="128">
        <v>597843.66</v>
      </c>
      <c r="G13" s="243">
        <v>3.8104127019465204</v>
      </c>
      <c r="H13" s="128">
        <v>524.0300000000279</v>
      </c>
      <c r="I13" s="267">
        <v>-467.55</v>
      </c>
      <c r="J13" s="28">
        <v>0.0010506741573033708</v>
      </c>
      <c r="K13" s="128">
        <v>-37.885639540449404</v>
      </c>
      <c r="L13" s="128">
        <v>428.28999999999996</v>
      </c>
      <c r="M13" s="268">
        <v>429.5747606574342</v>
      </c>
      <c r="N13" s="128">
        <v>36.52613328793797</v>
      </c>
      <c r="O13" s="243">
        <v>0.04413996740075659</v>
      </c>
    </row>
    <row r="14">
      <c r="A14" s="122">
        <v>43252.0</v>
      </c>
      <c r="B14" s="128">
        <v>116261.22</v>
      </c>
      <c r="C14" s="128">
        <v>255000.0</v>
      </c>
      <c r="D14" s="128">
        <v>253677.28999999995</v>
      </c>
      <c r="E14" s="243">
        <v>0.9948399215686274</v>
      </c>
      <c r="F14" s="128">
        <v>369945.4</v>
      </c>
      <c r="G14" s="243">
        <v>2.7941769790059787</v>
      </c>
      <c r="H14" s="128">
        <v>35014.44</v>
      </c>
      <c r="I14" s="267">
        <v>-276.19</v>
      </c>
      <c r="J14" s="28">
        <v>0.0010830980392156863</v>
      </c>
      <c r="K14" s="128">
        <v>-1.4251620619607877</v>
      </c>
      <c r="L14" s="128">
        <v>2488.6299999999997</v>
      </c>
      <c r="M14" s="268">
        <v>393.0486273694962</v>
      </c>
      <c r="N14" s="128">
        <v>257.1660766152361</v>
      </c>
      <c r="O14" s="243">
        <v>0.05168223182238803</v>
      </c>
    </row>
    <row r="15">
      <c r="A15" s="122">
        <v>43221.0</v>
      </c>
      <c r="B15" s="128">
        <v>81246.78</v>
      </c>
      <c r="C15" s="128">
        <v>150000.0</v>
      </c>
      <c r="D15" s="128">
        <v>149535.9399999999</v>
      </c>
      <c r="E15" s="243">
        <v>0.8279782666666667</v>
      </c>
      <c r="F15" s="128">
        <v>205443.52000000002</v>
      </c>
      <c r="G15" s="243">
        <v>1.8424491963779048</v>
      </c>
      <c r="H15" s="128">
        <v>4147.800000000003</v>
      </c>
      <c r="I15" s="267">
        <v>-161.46</v>
      </c>
      <c r="J15" s="28">
        <v>0.0010764000000000001</v>
      </c>
      <c r="K15" s="128">
        <v>-27.77462906399999</v>
      </c>
      <c r="L15" s="128">
        <v>35.480000000000004</v>
      </c>
      <c r="M15" s="268">
        <v>135.8825507542601</v>
      </c>
      <c r="N15" s="128">
        <v>-10.138712017943533</v>
      </c>
      <c r="O15" s="243">
        <v>0.020028535715117313</v>
      </c>
    </row>
    <row r="16">
      <c r="A16" s="122">
        <v>43191.0</v>
      </c>
      <c r="B16" s="128">
        <v>77098.98</v>
      </c>
      <c r="C16" s="128">
        <v>140000.0</v>
      </c>
      <c r="D16" s="128">
        <v>106183.83999999995</v>
      </c>
      <c r="E16" s="243">
        <v>0.7585050714285715</v>
      </c>
      <c r="F16" s="128">
        <v>183289.69</v>
      </c>
      <c r="G16" s="243">
        <v>1.819288725973677</v>
      </c>
      <c r="H16" s="128">
        <v>-3039.970000000001</v>
      </c>
      <c r="I16" s="267">
        <v>-140.97</v>
      </c>
      <c r="J16" s="28">
        <v>0.0010069285714285714</v>
      </c>
      <c r="K16" s="128">
        <v>-34.04354008071428</v>
      </c>
      <c r="L16" s="128">
        <v>377.32</v>
      </c>
      <c r="M16" s="268">
        <v>146.02126277220364</v>
      </c>
      <c r="N16" s="128">
        <v>6.0707784909044165</v>
      </c>
      <c r="O16" s="243">
        <v>0.0227704146097637</v>
      </c>
    </row>
    <row r="17">
      <c r="A17" s="122">
        <v>43160.0</v>
      </c>
      <c r="B17" s="128">
        <v>80138.95</v>
      </c>
      <c r="C17" s="128">
        <v>140000.0</v>
      </c>
      <c r="D17" s="128">
        <v>139355.79999999993</v>
      </c>
      <c r="E17" s="243">
        <v>0.9930148571428571</v>
      </c>
      <c r="F17" s="128">
        <v>219161.02999999997</v>
      </c>
      <c r="G17" s="243">
        <v>1.7691837162275088</v>
      </c>
      <c r="H17" s="128">
        <v>-3189.1100000000006</v>
      </c>
      <c r="I17" s="267">
        <v>-155.56</v>
      </c>
      <c r="J17" s="28">
        <v>0.0011112142857142857</v>
      </c>
      <c r="K17" s="128">
        <v>-1.0866088228571513</v>
      </c>
      <c r="L17" s="128">
        <v>417.15999999999997</v>
      </c>
      <c r="M17" s="268">
        <v>139.95048428129923</v>
      </c>
      <c r="N17" s="128">
        <v>18.119791224196646</v>
      </c>
      <c r="O17" s="243">
        <v>0.021222695817311017</v>
      </c>
    </row>
    <row r="18">
      <c r="A18" s="122">
        <v>43132.0</v>
      </c>
      <c r="B18" s="128">
        <v>83328.06</v>
      </c>
      <c r="C18" s="128">
        <v>171000.0</v>
      </c>
      <c r="D18" s="128">
        <v>139606.59999999992</v>
      </c>
      <c r="E18" s="243">
        <v>0.8164530409356725</v>
      </c>
      <c r="F18" s="128">
        <v>222941.53</v>
      </c>
      <c r="G18" s="243">
        <v>2.041847654674429</v>
      </c>
      <c r="H18" s="128">
        <v>-6845.5899999999965</v>
      </c>
      <c r="I18" s="267">
        <v>-166.36</v>
      </c>
      <c r="J18" s="28">
        <v>9.728654970760235E-4</v>
      </c>
      <c r="K18" s="128">
        <v>-30.534872109941524</v>
      </c>
      <c r="L18" s="128">
        <v>30.860000000000003</v>
      </c>
      <c r="M18" s="268">
        <v>121.83069305710258</v>
      </c>
      <c r="N18" s="128">
        <v>-39.103832116894054</v>
      </c>
      <c r="O18" s="243">
        <v>0.01745682209726352</v>
      </c>
    </row>
    <row r="19">
      <c r="A19" s="122">
        <v>43101.0</v>
      </c>
      <c r="B19" s="128">
        <v>90173.65</v>
      </c>
      <c r="C19" s="128">
        <v>180000.0</v>
      </c>
      <c r="D19" s="128">
        <v>171040.55999999988</v>
      </c>
      <c r="E19" s="243">
        <v>0.9502616111111111</v>
      </c>
      <c r="F19" s="128">
        <v>261220.74</v>
      </c>
      <c r="G19" s="243">
        <v>1.9992884147261705</v>
      </c>
      <c r="H19" s="128">
        <v>31123.059999999998</v>
      </c>
      <c r="I19" s="267">
        <v>-193.75</v>
      </c>
      <c r="J19" s="28">
        <v>0.0010763888888888889</v>
      </c>
      <c r="K19" s="128">
        <v>-9.63681284722223</v>
      </c>
      <c r="L19" s="128">
        <v>856.9799999999999</v>
      </c>
      <c r="M19" s="268">
        <v>160.93452517399663</v>
      </c>
      <c r="N19" s="128">
        <v>93.24753722807925</v>
      </c>
      <c r="O19" s="243">
        <v>0.02145030211398858</v>
      </c>
    </row>
    <row r="20">
      <c r="A20" s="122">
        <v>43070.0</v>
      </c>
      <c r="B20" s="128">
        <v>59050.59</v>
      </c>
      <c r="C20" s="128">
        <v>118000.0</v>
      </c>
      <c r="D20" s="128">
        <v>118009.83000000002</v>
      </c>
      <c r="E20" s="243">
        <v>0.7388959322033899</v>
      </c>
      <c r="F20" s="128">
        <v>146240.31</v>
      </c>
      <c r="G20" s="243">
        <v>1.966233918601813</v>
      </c>
      <c r="H20" s="128">
        <v>11510.699999999997</v>
      </c>
      <c r="I20" s="267">
        <v>-127.19</v>
      </c>
      <c r="J20" s="28">
        <v>0.0010778813559322034</v>
      </c>
      <c r="K20" s="128">
        <v>-33.20982638305084</v>
      </c>
      <c r="L20" s="128">
        <v>27.43</v>
      </c>
      <c r="M20" s="268">
        <v>67.68698794591738</v>
      </c>
      <c r="N20" s="128">
        <v>-11.047966036943393</v>
      </c>
      <c r="O20" s="243">
        <v>0.013882371639482697</v>
      </c>
    </row>
    <row r="21">
      <c r="A21" s="122">
        <v>43040.0</v>
      </c>
      <c r="B21" s="128">
        <v>47539.89</v>
      </c>
      <c r="C21" s="128">
        <v>98000.0</v>
      </c>
      <c r="D21" s="128">
        <v>87985.97999999997</v>
      </c>
      <c r="E21" s="243">
        <v>0.8976082653061225</v>
      </c>
      <c r="F21" s="128">
        <v>135505.5</v>
      </c>
      <c r="G21" s="243">
        <v>1.9958735325863173</v>
      </c>
      <c r="H21" s="128">
        <v>-434.3600000000006</v>
      </c>
      <c r="I21" s="267">
        <v>-102.08333333333333</v>
      </c>
      <c r="J21" s="28">
        <v>0.0010416666666666667</v>
      </c>
      <c r="K21" s="128">
        <v>-10.45248958333333</v>
      </c>
      <c r="L21" s="128">
        <v>24.61</v>
      </c>
      <c r="M21" s="268">
        <v>78.73495398286077</v>
      </c>
      <c r="N21" s="128">
        <v>-8.9071236436005</v>
      </c>
      <c r="O21" s="243">
        <v>0.01924224621352573</v>
      </c>
    </row>
    <row r="22">
      <c r="A22" s="122">
        <v>43009.0</v>
      </c>
      <c r="B22" s="128">
        <v>47974.25</v>
      </c>
      <c r="C22" s="128">
        <v>90000.0</v>
      </c>
      <c r="D22" s="128">
        <v>89800.92999999998</v>
      </c>
      <c r="E22" s="243">
        <v>0.9978646666666667</v>
      </c>
      <c r="F22" s="128">
        <v>137782.07</v>
      </c>
      <c r="G22" s="243">
        <v>1.8204078644046953</v>
      </c>
      <c r="H22" s="128">
        <v>7329.379999999997</v>
      </c>
      <c r="I22" s="267">
        <v>-93.75</v>
      </c>
      <c r="J22" s="28">
        <v>0.0010416666666666667</v>
      </c>
      <c r="K22" s="128">
        <v>-0.20018749999999377</v>
      </c>
      <c r="L22" s="128">
        <v>482.99</v>
      </c>
      <c r="M22" s="268">
        <v>87.64207762646127</v>
      </c>
      <c r="N22" s="128">
        <v>44.503593272882185</v>
      </c>
      <c r="O22" s="243">
        <v>0.021272576981863585</v>
      </c>
    </row>
    <row r="23">
      <c r="A23" s="122">
        <v>42979.0</v>
      </c>
      <c r="B23" s="128">
        <v>40644.87</v>
      </c>
      <c r="C23" s="128">
        <v>80000.0</v>
      </c>
      <c r="D23" s="128">
        <v>79824.09000000001</v>
      </c>
      <c r="E23" s="243">
        <v>0.99788725</v>
      </c>
      <c r="F23" s="128">
        <v>120475.85</v>
      </c>
      <c r="G23" s="243">
        <v>1.952822255338833</v>
      </c>
      <c r="H23" s="128">
        <v>60.62000000000262</v>
      </c>
      <c r="I23" s="267">
        <v>-86.11</v>
      </c>
      <c r="J23" s="28">
        <v>0.001076375</v>
      </c>
      <c r="K23" s="128">
        <v>-0.1819289024999997</v>
      </c>
      <c r="L23" s="128">
        <v>19.49</v>
      </c>
      <c r="M23" s="268">
        <v>43.13848435357909</v>
      </c>
      <c r="N23" s="128">
        <v>-14.211933111262702</v>
      </c>
      <c r="O23" s="243">
        <v>0.012636268846088292</v>
      </c>
    </row>
    <row r="24">
      <c r="A24" s="122">
        <v>42948.0</v>
      </c>
      <c r="B24" s="128">
        <v>40584.25</v>
      </c>
      <c r="C24" s="128">
        <v>73300.0</v>
      </c>
      <c r="D24" s="128">
        <v>73108.81999999999</v>
      </c>
      <c r="E24" s="243">
        <v>0.9974858117326059</v>
      </c>
      <c r="F24" s="128">
        <v>113699.96</v>
      </c>
      <c r="G24" s="243">
        <v>1.7893083334655582</v>
      </c>
      <c r="H24" s="128">
        <v>-2826.3600000000006</v>
      </c>
      <c r="I24" s="267">
        <v>-78.9</v>
      </c>
      <c r="J24" s="28">
        <v>0.0010763983628922238</v>
      </c>
      <c r="K24" s="128">
        <v>-0.19836945429739727</v>
      </c>
      <c r="L24" s="128">
        <v>17.77</v>
      </c>
      <c r="M24" s="268">
        <v>57.35041746484179</v>
      </c>
      <c r="N24" s="128">
        <v>-4.704308870973371</v>
      </c>
      <c r="O24" s="243">
        <v>0.016799603803149266</v>
      </c>
    </row>
    <row r="25">
      <c r="A25" s="122">
        <v>42917.0</v>
      </c>
      <c r="B25" s="128">
        <v>43410.61</v>
      </c>
      <c r="C25" s="128">
        <v>66200.0</v>
      </c>
      <c r="D25" s="128">
        <v>66142.76000000002</v>
      </c>
      <c r="E25" s="243">
        <v>0.999239425981873</v>
      </c>
      <c r="F25" s="128">
        <v>109560.26</v>
      </c>
      <c r="G25" s="243">
        <v>1.6161801606317068</v>
      </c>
      <c r="H25" s="128">
        <v>1495.8799999999974</v>
      </c>
      <c r="I25" s="267">
        <v>-66.68</v>
      </c>
      <c r="J25" s="28">
        <v>0.0010072507552870093</v>
      </c>
      <c r="K25" s="128">
        <v>-0.05071507552870928</v>
      </c>
      <c r="L25" s="128">
        <v>240.32</v>
      </c>
      <c r="M25" s="268">
        <v>62.05472633581516</v>
      </c>
      <c r="N25" s="128">
        <v>12.25053391025552</v>
      </c>
      <c r="O25" s="243">
        <v>0.018179749409795956</v>
      </c>
    </row>
    <row r="26">
      <c r="A26" s="122">
        <v>42887.0</v>
      </c>
      <c r="B26" s="128">
        <v>41914.73</v>
      </c>
      <c r="C26" s="128">
        <v>49800.0</v>
      </c>
      <c r="D26" s="128">
        <v>49431.34999999992</v>
      </c>
      <c r="E26" s="243">
        <v>0.9948989959839357</v>
      </c>
      <c r="F26" s="128">
        <v>91460.70000000001</v>
      </c>
      <c r="G26" s="243">
        <v>1.1881264653261514</v>
      </c>
      <c r="H26" s="128">
        <v>-1441.7999999999956</v>
      </c>
      <c r="I26" s="267">
        <v>-55.33</v>
      </c>
      <c r="J26" s="28">
        <v>0.0011110441767068272</v>
      </c>
      <c r="K26" s="128">
        <v>-0.28223855220883665</v>
      </c>
      <c r="L26" s="128">
        <v>121.37</v>
      </c>
      <c r="M26" s="268">
        <v>49.80419242555964</v>
      </c>
      <c r="N26" s="128">
        <v>-3.2848617191320244</v>
      </c>
      <c r="O26" s="243">
        <v>0.014258717856627388</v>
      </c>
    </row>
    <row r="27">
      <c r="A27" s="122">
        <v>42856.0</v>
      </c>
      <c r="B27" s="128">
        <v>43356.53</v>
      </c>
      <c r="C27" s="128">
        <v>28500.0</v>
      </c>
      <c r="D27" s="128">
        <v>28432.45999999996</v>
      </c>
      <c r="E27" s="243">
        <v>0.9978719298245613</v>
      </c>
      <c r="F27" s="128">
        <v>71795.88</v>
      </c>
      <c r="G27" s="243">
        <v>0.6573404283045714</v>
      </c>
      <c r="H27" s="128">
        <v>-2225.8199999999997</v>
      </c>
      <c r="I27" s="267">
        <v>-30.68</v>
      </c>
      <c r="J27" s="28">
        <v>0.0010764912280701753</v>
      </c>
      <c r="K27" s="128">
        <v>-0.06528919298245935</v>
      </c>
      <c r="L27" s="128">
        <v>0.0</v>
      </c>
      <c r="M27" s="268">
        <v>53.089054144691666</v>
      </c>
      <c r="N27" s="128">
        <v>-5.620712340666387</v>
      </c>
      <c r="O27" s="243">
        <v>0.014693718564107873</v>
      </c>
    </row>
    <row r="28">
      <c r="A28" s="122">
        <v>42826.0</v>
      </c>
      <c r="B28" s="128">
        <v>45582.35</v>
      </c>
      <c r="C28" s="128">
        <v>0.0</v>
      </c>
      <c r="D28" s="128">
        <v>0.0</v>
      </c>
      <c r="E28" s="243">
        <v>0.0</v>
      </c>
      <c r="F28" s="128">
        <v>45582.35</v>
      </c>
      <c r="G28" s="243">
        <v>0.0</v>
      </c>
      <c r="H28" s="128">
        <v>4.5</v>
      </c>
      <c r="I28" s="267">
        <v>0.0</v>
      </c>
      <c r="J28" s="28">
        <v>0.0</v>
      </c>
      <c r="K28" s="128">
        <v>0.0</v>
      </c>
      <c r="L28" s="128">
        <v>91.22</v>
      </c>
      <c r="M28" s="268">
        <v>58.70976648535805</v>
      </c>
      <c r="N28" s="128">
        <v>6.782095430276549</v>
      </c>
      <c r="O28" s="243">
        <v>0.015455920939229695</v>
      </c>
    </row>
    <row r="29">
      <c r="A29" s="122">
        <v>42795.0</v>
      </c>
      <c r="B29" s="128">
        <v>45577.85</v>
      </c>
      <c r="C29" s="128">
        <v>0.0</v>
      </c>
      <c r="D29" s="128">
        <v>0.0</v>
      </c>
      <c r="E29" s="243">
        <v>0.0</v>
      </c>
      <c r="F29" s="128">
        <v>45577.85</v>
      </c>
      <c r="G29" s="243">
        <v>0.0</v>
      </c>
      <c r="H29" s="128">
        <v>620.5800000000017</v>
      </c>
      <c r="I29" s="267">
        <v>0.0</v>
      </c>
      <c r="J29" s="28">
        <v>0.0</v>
      </c>
      <c r="K29" s="128">
        <v>0.0</v>
      </c>
      <c r="L29" s="128">
        <v>4.5</v>
      </c>
      <c r="M29" s="268">
        <v>51.927671055081504</v>
      </c>
      <c r="N29" s="128">
        <v>-5.487421869075156</v>
      </c>
      <c r="O29" s="243">
        <v>0.013671817618886762</v>
      </c>
    </row>
    <row r="30">
      <c r="A30" s="122">
        <v>42767.0</v>
      </c>
      <c r="B30" s="128">
        <v>44957.27</v>
      </c>
      <c r="C30" s="128">
        <v>0.0</v>
      </c>
      <c r="D30" s="128">
        <v>0.0</v>
      </c>
      <c r="E30" s="243">
        <v>0.0</v>
      </c>
      <c r="F30" s="128">
        <v>44957.27</v>
      </c>
      <c r="G30" s="243">
        <v>0.0</v>
      </c>
      <c r="H30" s="128">
        <v>237.6800000000003</v>
      </c>
      <c r="I30" s="267">
        <v>0.0</v>
      </c>
      <c r="J30" s="28">
        <v>0.0</v>
      </c>
      <c r="K30" s="128">
        <v>0.0</v>
      </c>
      <c r="L30" s="128">
        <v>4.87</v>
      </c>
      <c r="M30" s="268">
        <v>57.41509292415666</v>
      </c>
      <c r="N30" s="128">
        <v>-0.2638593294568281</v>
      </c>
      <c r="O30" s="243">
        <v>0.015325243616658216</v>
      </c>
    </row>
    <row r="31">
      <c r="A31" s="122">
        <v>42736.0</v>
      </c>
      <c r="B31" s="128">
        <v>44719.59</v>
      </c>
      <c r="C31" s="128">
        <v>0.0</v>
      </c>
      <c r="D31" s="128">
        <v>0.0</v>
      </c>
      <c r="E31" s="243">
        <v>0.0</v>
      </c>
      <c r="F31" s="128">
        <v>44719.59</v>
      </c>
      <c r="G31" s="243">
        <v>0.0</v>
      </c>
      <c r="H31" s="128">
        <v>121.83000000000175</v>
      </c>
      <c r="I31" s="267">
        <v>0.0</v>
      </c>
      <c r="J31" s="28">
        <v>0.0</v>
      </c>
      <c r="K31" s="128">
        <v>0.0</v>
      </c>
      <c r="L31" s="128">
        <v>237.85999999999999</v>
      </c>
      <c r="M31" s="268">
        <v>57.67895225361349</v>
      </c>
      <c r="N31" s="128">
        <v>4.106952083014058</v>
      </c>
      <c r="O31" s="243">
        <v>0.015477499392176046</v>
      </c>
    </row>
    <row r="32">
      <c r="A32" s="122">
        <v>42705.0</v>
      </c>
      <c r="B32" s="128">
        <v>44597.759999999995</v>
      </c>
      <c r="C32" s="128">
        <v>0.0</v>
      </c>
      <c r="D32" s="128">
        <v>0.0</v>
      </c>
      <c r="E32" s="243">
        <v>0.0</v>
      </c>
      <c r="F32" s="128">
        <v>44597.759999999995</v>
      </c>
      <c r="G32" s="243">
        <v>0.0</v>
      </c>
      <c r="H32" s="128">
        <v>4.569999999999709</v>
      </c>
      <c r="I32" s="267">
        <v>0.0</v>
      </c>
      <c r="J32" s="28">
        <v>0.0</v>
      </c>
      <c r="K32" s="128">
        <v>0.0</v>
      </c>
      <c r="L32" s="128">
        <v>121.82999999999998</v>
      </c>
      <c r="M32" s="268">
        <v>53.57200017059943</v>
      </c>
      <c r="N32" s="128">
        <v>9.640693567282526</v>
      </c>
      <c r="O32" s="243">
        <v>0.01441471504504247</v>
      </c>
    </row>
    <row r="33">
      <c r="A33" s="122">
        <v>42675.0</v>
      </c>
      <c r="B33" s="128">
        <v>44593.189999999995</v>
      </c>
      <c r="C33" s="128">
        <v>0.0</v>
      </c>
      <c r="D33" s="128">
        <v>0.0</v>
      </c>
      <c r="E33" s="243">
        <v>0.0</v>
      </c>
      <c r="F33" s="128">
        <v>44593.189999999995</v>
      </c>
      <c r="G33" s="243">
        <v>0.0</v>
      </c>
      <c r="H33" s="128">
        <v>4.239999999997963</v>
      </c>
      <c r="I33" s="267">
        <v>0.0</v>
      </c>
      <c r="J33" s="28">
        <v>0.0</v>
      </c>
      <c r="K33" s="128">
        <v>0.0</v>
      </c>
      <c r="L33" s="128">
        <v>4.57</v>
      </c>
      <c r="M33" s="268">
        <v>43.931306603316905</v>
      </c>
      <c r="N33" s="128">
        <v>-0.7660338400919784</v>
      </c>
      <c r="O33" s="243">
        <v>0.011821887585073031</v>
      </c>
    </row>
    <row r="34">
      <c r="A34" s="122">
        <v>42644.0</v>
      </c>
      <c r="B34" s="128">
        <v>44588.95</v>
      </c>
      <c r="C34" s="128">
        <v>0.0</v>
      </c>
      <c r="D34" s="128">
        <v>0.0</v>
      </c>
      <c r="E34" s="243">
        <v>0.0</v>
      </c>
      <c r="F34" s="128">
        <v>44588.95</v>
      </c>
      <c r="G34" s="243">
        <v>0.0</v>
      </c>
      <c r="H34" s="128">
        <v>119.66000000000349</v>
      </c>
      <c r="I34" s="267">
        <v>0.0</v>
      </c>
      <c r="J34" s="28">
        <v>0.0</v>
      </c>
      <c r="K34" s="128">
        <v>0.0</v>
      </c>
      <c r="L34" s="128">
        <v>4.4</v>
      </c>
      <c r="M34" s="268">
        <v>44.69734044340888</v>
      </c>
      <c r="N34" s="128">
        <v>-3.8524063853727597</v>
      </c>
      <c r="O34" s="243">
        <v>0.012029170575241326</v>
      </c>
    </row>
    <row r="35">
      <c r="A35" s="122">
        <v>42614.0</v>
      </c>
      <c r="B35" s="128">
        <v>44469.28999999999</v>
      </c>
      <c r="C35" s="128">
        <v>0.0</v>
      </c>
      <c r="D35" s="128">
        <v>0.0</v>
      </c>
      <c r="E35" s="243">
        <v>0.0</v>
      </c>
      <c r="F35" s="128">
        <v>44469.28999999999</v>
      </c>
      <c r="G35" s="243">
        <v>0.0</v>
      </c>
      <c r="H35" s="128">
        <v>4.69999999999709</v>
      </c>
      <c r="I35" s="267">
        <v>0.0</v>
      </c>
      <c r="J35" s="28">
        <v>0.0</v>
      </c>
      <c r="K35" s="128">
        <v>0.0</v>
      </c>
      <c r="L35" s="128">
        <v>119.66</v>
      </c>
      <c r="M35" s="268">
        <v>48.54974682878164</v>
      </c>
      <c r="N35" s="128">
        <v>7.78064693112109</v>
      </c>
      <c r="O35" s="243">
        <v>0.013101107796984836</v>
      </c>
    </row>
    <row r="36">
      <c r="A36" s="122">
        <v>42583.0</v>
      </c>
      <c r="B36" s="128">
        <v>44464.59</v>
      </c>
      <c r="C36" s="128">
        <v>0.0</v>
      </c>
      <c r="D36" s="128">
        <v>0.0</v>
      </c>
      <c r="E36" s="243">
        <v>0.0</v>
      </c>
      <c r="F36" s="128">
        <v>44464.59</v>
      </c>
      <c r="G36" s="243">
        <v>0.0</v>
      </c>
      <c r="H36" s="128">
        <v>4.519999999996799</v>
      </c>
      <c r="I36" s="267">
        <v>0.0</v>
      </c>
      <c r="J36" s="28">
        <v>0.0</v>
      </c>
      <c r="K36" s="128">
        <v>0.0</v>
      </c>
      <c r="L36" s="128">
        <v>4.7</v>
      </c>
      <c r="M36" s="268">
        <v>40.76909989766055</v>
      </c>
      <c r="N36" s="128">
        <v>-4.42355762741861</v>
      </c>
      <c r="O36" s="243">
        <v>0.011002669737243202</v>
      </c>
    </row>
    <row r="37">
      <c r="A37" s="122">
        <v>42552.0</v>
      </c>
      <c r="B37" s="128">
        <v>44460.07</v>
      </c>
      <c r="C37" s="128">
        <v>0.0</v>
      </c>
      <c r="D37" s="128">
        <v>0.0</v>
      </c>
      <c r="E37" s="243">
        <v>0.0</v>
      </c>
      <c r="F37" s="128">
        <v>44460.07</v>
      </c>
      <c r="G37" s="243">
        <v>0.0</v>
      </c>
      <c r="H37" s="128">
        <v>88.37999999999738</v>
      </c>
      <c r="I37" s="267">
        <v>0.0</v>
      </c>
      <c r="J37" s="28">
        <v>0.0</v>
      </c>
      <c r="K37" s="128">
        <v>0.0</v>
      </c>
      <c r="L37" s="128">
        <v>4.69</v>
      </c>
      <c r="M37" s="268">
        <v>45.19265752507916</v>
      </c>
      <c r="N37" s="128">
        <v>-5.566589148035497</v>
      </c>
      <c r="O37" s="243">
        <v>0.01219772911515771</v>
      </c>
    </row>
    <row r="38">
      <c r="A38" s="122">
        <v>42522.0</v>
      </c>
      <c r="B38" s="128">
        <v>44371.69</v>
      </c>
      <c r="C38" s="128">
        <v>0.0</v>
      </c>
      <c r="D38" s="128">
        <v>0.0</v>
      </c>
      <c r="E38" s="243">
        <v>0.0</v>
      </c>
      <c r="F38" s="128">
        <v>44371.69</v>
      </c>
      <c r="G38" s="243">
        <v>0.0</v>
      </c>
      <c r="H38" s="128">
        <v>4.650000000001455</v>
      </c>
      <c r="I38" s="267">
        <v>0.0</v>
      </c>
      <c r="J38" s="28">
        <v>0.0</v>
      </c>
      <c r="K38" s="128">
        <v>0.0</v>
      </c>
      <c r="L38" s="128">
        <v>88.38</v>
      </c>
      <c r="M38" s="268">
        <v>50.75924667311466</v>
      </c>
      <c r="N38" s="128">
        <v>6.11147986274112</v>
      </c>
      <c r="O38" s="243">
        <v>0.013727468123873033</v>
      </c>
    </row>
    <row r="39">
      <c r="A39" s="122">
        <v>42491.0</v>
      </c>
      <c r="B39" s="128">
        <v>44367.04</v>
      </c>
      <c r="C39" s="128">
        <v>0.0</v>
      </c>
      <c r="D39" s="128">
        <v>0.0</v>
      </c>
      <c r="E39" s="243">
        <v>0.0</v>
      </c>
      <c r="F39" s="128">
        <v>44367.04</v>
      </c>
      <c r="G39" s="243">
        <v>0.0</v>
      </c>
      <c r="H39" s="128">
        <v>5225.9100000000035</v>
      </c>
      <c r="I39" s="267">
        <v>0.0</v>
      </c>
      <c r="J39" s="28">
        <v>0.0</v>
      </c>
      <c r="K39" s="128">
        <v>0.0</v>
      </c>
      <c r="L39" s="128">
        <v>4.65</v>
      </c>
      <c r="M39" s="268">
        <v>44.64776681037354</v>
      </c>
      <c r="N39" s="128">
        <v>-1.578017122756627</v>
      </c>
      <c r="O39" s="243">
        <v>0.01207592847583437</v>
      </c>
    </row>
    <row r="40">
      <c r="A40" s="122">
        <v>42461.0</v>
      </c>
      <c r="B40" s="128">
        <v>39141.13</v>
      </c>
      <c r="C40" s="128">
        <v>0.0</v>
      </c>
      <c r="D40" s="128">
        <v>0.0</v>
      </c>
      <c r="E40" s="243">
        <v>0.0</v>
      </c>
      <c r="F40" s="128">
        <v>39141.13</v>
      </c>
      <c r="G40" s="243">
        <v>0.0</v>
      </c>
      <c r="H40" s="128">
        <v>69.26000000000204</v>
      </c>
      <c r="I40" s="267">
        <v>0.0</v>
      </c>
      <c r="J40" s="28">
        <v>0.0</v>
      </c>
      <c r="K40" s="128">
        <v>0.0</v>
      </c>
      <c r="L40" s="128">
        <v>4.08</v>
      </c>
      <c r="M40" s="268">
        <v>46.22578393313017</v>
      </c>
      <c r="N40" s="128">
        <v>-8.59232490555609</v>
      </c>
      <c r="O40" s="243">
        <v>0.014172033541125718</v>
      </c>
    </row>
    <row r="41">
      <c r="A41" s="122">
        <v>42430.0</v>
      </c>
      <c r="B41" s="128">
        <v>39071.869999999995</v>
      </c>
      <c r="C41" s="128">
        <v>0.0</v>
      </c>
      <c r="D41" s="128">
        <v>0.0</v>
      </c>
      <c r="E41" s="243">
        <v>0.0</v>
      </c>
      <c r="F41" s="128">
        <v>39071.869999999995</v>
      </c>
      <c r="G41" s="243">
        <v>0.0</v>
      </c>
      <c r="H41" s="128">
        <v>3.9199999999982538</v>
      </c>
      <c r="I41" s="267">
        <v>0.0</v>
      </c>
      <c r="J41" s="28">
        <v>0.0</v>
      </c>
      <c r="K41" s="128">
        <v>0.0</v>
      </c>
      <c r="L41" s="128">
        <v>69.26</v>
      </c>
      <c r="M41" s="268">
        <v>54.81810883868626</v>
      </c>
      <c r="N41" s="128">
        <v>3.7477144004421987</v>
      </c>
      <c r="O41" s="243">
        <v>0.016836084529976047</v>
      </c>
    </row>
    <row r="42">
      <c r="A42" s="122">
        <v>42401.0</v>
      </c>
      <c r="B42" s="128">
        <v>39067.95</v>
      </c>
      <c r="C42" s="128">
        <v>0.0</v>
      </c>
      <c r="D42" s="128">
        <v>0.0</v>
      </c>
      <c r="E42" s="243">
        <v>0.0</v>
      </c>
      <c r="F42" s="128">
        <v>39067.95</v>
      </c>
      <c r="G42" s="243">
        <v>0.0</v>
      </c>
      <c r="H42" s="128">
        <v>184.76000000000204</v>
      </c>
      <c r="I42" s="267">
        <v>0.0</v>
      </c>
      <c r="J42" s="28">
        <v>0.0</v>
      </c>
      <c r="K42" s="128">
        <v>0.0</v>
      </c>
      <c r="L42" s="128">
        <v>3.92</v>
      </c>
      <c r="M42" s="268">
        <v>51.07039443824406</v>
      </c>
      <c r="N42" s="128">
        <v>-16.171352090613603</v>
      </c>
      <c r="O42" s="243">
        <v>0.015686636571894064</v>
      </c>
    </row>
    <row r="43">
      <c r="A43" s="122">
        <v>42370.0</v>
      </c>
      <c r="B43" s="128">
        <v>38883.189999999995</v>
      </c>
      <c r="C43" s="128">
        <v>0.0</v>
      </c>
      <c r="D43" s="128">
        <v>0.0</v>
      </c>
      <c r="E43" s="243">
        <v>0.0</v>
      </c>
      <c r="F43" s="128">
        <v>38883.189999999995</v>
      </c>
      <c r="G43" s="243">
        <v>0.0</v>
      </c>
      <c r="H43" s="128">
        <v>1478.3099999999977</v>
      </c>
      <c r="I43" s="267">
        <v>0.0</v>
      </c>
      <c r="J43" s="28">
        <v>0.0</v>
      </c>
      <c r="K43" s="128">
        <v>0.0</v>
      </c>
      <c r="L43" s="128">
        <v>184.98</v>
      </c>
      <c r="M43" s="268">
        <v>67.24174652885766</v>
      </c>
      <c r="N43" s="128">
        <v>63.03480878452831</v>
      </c>
      <c r="O43" s="243">
        <v>0.020751922832110532</v>
      </c>
    </row>
    <row r="44">
      <c r="A44" s="122">
        <v>42339.0</v>
      </c>
      <c r="B44" s="128">
        <v>37404.88</v>
      </c>
      <c r="C44" s="128">
        <v>0.0</v>
      </c>
      <c r="D44" s="128">
        <v>0.0</v>
      </c>
      <c r="E44" s="243">
        <v>0.0</v>
      </c>
      <c r="F44" s="128">
        <v>37404.88</v>
      </c>
      <c r="G44" s="243">
        <v>0.0</v>
      </c>
      <c r="H44" s="128">
        <v>1990.5299999999988</v>
      </c>
      <c r="I44" s="267">
        <v>0.0</v>
      </c>
      <c r="J44" s="28">
        <v>0.0</v>
      </c>
      <c r="K44" s="128">
        <v>0.0</v>
      </c>
      <c r="L44" s="128">
        <v>4.1</v>
      </c>
      <c r="M44" s="268">
        <v>4.206937744329348</v>
      </c>
      <c r="N44" s="128">
        <v>0.11693774432934845</v>
      </c>
      <c r="O44" s="243">
        <v>0.0013496434938957745</v>
      </c>
    </row>
    <row r="45">
      <c r="A45" s="122">
        <v>42309.0</v>
      </c>
      <c r="B45" s="128">
        <v>35414.35</v>
      </c>
      <c r="C45" s="128">
        <v>0.0</v>
      </c>
      <c r="D45" s="128">
        <v>0.0</v>
      </c>
      <c r="E45" s="243">
        <v>0.0</v>
      </c>
      <c r="F45" s="128">
        <v>35414.35</v>
      </c>
      <c r="G45" s="243">
        <v>0.0</v>
      </c>
      <c r="H45" s="128">
        <v>35414.35</v>
      </c>
      <c r="I45" s="267">
        <v>0.0</v>
      </c>
      <c r="J45" s="28">
        <v>0.0</v>
      </c>
      <c r="K45" s="128">
        <v>0.0</v>
      </c>
      <c r="L45" s="128">
        <v>4.09</v>
      </c>
      <c r="M45" s="268">
        <v>4.09</v>
      </c>
      <c r="N45" s="128">
        <v>4.09</v>
      </c>
      <c r="O45" s="243">
        <v>0.0013858788880778553</v>
      </c>
    </row>
  </sheetData>
  <conditionalFormatting sqref="K1:K45">
    <cfRule type="expression" dxfId="16" priority="1">
      <formula>K1=""</formula>
    </cfRule>
  </conditionalFormatting>
  <conditionalFormatting sqref="I1:I45">
    <cfRule type="expression" dxfId="16" priority="2">
      <formula>J1=""</formula>
    </cfRule>
  </conditionalFormatting>
  <conditionalFormatting sqref="B1:D45 F1:F45 L1:M45">
    <cfRule type="expression" dxfId="15" priority="3">
      <formula>B1=MAX(B:B)</formula>
    </cfRule>
  </conditionalFormatting>
  <drawing r:id="rId2"/>
  <legacyDrawing r:id="rId3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9900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2.75"/>
  <cols>
    <col customWidth="1" min="1" max="1" width="10.29"/>
    <col customWidth="1" min="2" max="2" width="10.57"/>
  </cols>
  <sheetData>
    <row r="1" ht="14.25" customHeight="1">
      <c r="A1" s="269" t="s">
        <v>0</v>
      </c>
      <c r="B1" s="269" t="s">
        <v>12</v>
      </c>
    </row>
    <row r="2" ht="14.25" customHeight="1">
      <c r="A2" s="270">
        <v>43617.0</v>
      </c>
      <c r="B2" s="271">
        <f>SUMIFS(ExpensesHistoric!$C:$C,ExpensesHistoric!$D:$D,"X",ExpensesHistoric!A:A,"&gt;"&amp;EOMONTH(A2,-1)+1,ExpensesHistoric!A:A,"&lt;"&amp;EOMONTH(A2,0))</f>
        <v>-208.07</v>
      </c>
    </row>
    <row r="3" ht="14.25" customHeight="1">
      <c r="A3" s="270">
        <v>43586.0</v>
      </c>
      <c r="B3" s="271">
        <v>-86.88</v>
      </c>
    </row>
    <row r="4" ht="14.25" customHeight="1">
      <c r="A4" s="270">
        <v>43556.0</v>
      </c>
      <c r="B4" s="271">
        <v>-48.15</v>
      </c>
    </row>
    <row r="5" ht="14.25" customHeight="1">
      <c r="A5" s="270">
        <v>43525.0</v>
      </c>
      <c r="B5" s="271">
        <v>-117.82</v>
      </c>
    </row>
    <row r="6" ht="14.25" customHeight="1">
      <c r="A6" s="270">
        <v>43497.0</v>
      </c>
      <c r="B6" s="271">
        <v>-55.1</v>
      </c>
    </row>
    <row r="7" ht="14.25" customHeight="1">
      <c r="A7" s="270">
        <v>43466.0</v>
      </c>
      <c r="B7" s="271">
        <v>-36.76</v>
      </c>
    </row>
    <row r="8" ht="14.25" customHeight="1">
      <c r="A8" s="270">
        <v>43435.0</v>
      </c>
      <c r="B8" s="271">
        <v>-325.25</v>
      </c>
    </row>
    <row r="9" ht="14.25" customHeight="1">
      <c r="A9" s="270">
        <v>43405.0</v>
      </c>
      <c r="B9" s="271">
        <v>-133.55</v>
      </c>
    </row>
    <row r="10" ht="14.25" customHeight="1">
      <c r="A10" s="270">
        <v>43374.0</v>
      </c>
      <c r="B10" s="271">
        <v>-141.35</v>
      </c>
    </row>
    <row r="11" ht="14.25" customHeight="1">
      <c r="A11" s="270">
        <v>43344.0</v>
      </c>
      <c r="B11" s="271">
        <v>-71.35</v>
      </c>
    </row>
    <row r="12" ht="14.25" customHeight="1">
      <c r="A12" s="270">
        <v>43313.0</v>
      </c>
      <c r="B12" s="271">
        <v>-707.3299999999995</v>
      </c>
    </row>
    <row r="13" ht="14.25" customHeight="1">
      <c r="A13" s="270">
        <v>43282.0</v>
      </c>
      <c r="B13" s="271">
        <v>0.0</v>
      </c>
    </row>
    <row r="14" ht="14.25" customHeight="1">
      <c r="A14" s="270">
        <v>43252.0</v>
      </c>
      <c r="B14" s="271">
        <v>-894.53</v>
      </c>
    </row>
    <row r="15" ht="14.25" customHeight="1">
      <c r="A15" s="270">
        <v>43221.0</v>
      </c>
      <c r="B15" s="271">
        <v>-119.68</v>
      </c>
    </row>
    <row r="16" ht="14.25" customHeight="1">
      <c r="A16" s="270">
        <v>43191.0</v>
      </c>
      <c r="B16" s="271">
        <v>-5.2</v>
      </c>
    </row>
    <row r="17" ht="14.25" customHeight="1">
      <c r="A17" s="270">
        <v>43160.0</v>
      </c>
      <c r="B17" s="271">
        <v>-119.54</v>
      </c>
    </row>
    <row r="18" ht="14.25" customHeight="1">
      <c r="A18" s="270">
        <v>43132.0</v>
      </c>
      <c r="B18" s="271">
        <v>-11.649999999999999</v>
      </c>
    </row>
    <row r="19" ht="14.25" customHeight="1">
      <c r="A19" s="270">
        <v>43102.0</v>
      </c>
      <c r="B19" s="271">
        <v>-110.64999999999999</v>
      </c>
    </row>
    <row r="20" ht="14.25" customHeight="1">
      <c r="A20" s="270">
        <v>43070.0</v>
      </c>
      <c r="B20" s="271">
        <v>-155.72</v>
      </c>
    </row>
    <row r="21" ht="14.25" customHeight="1">
      <c r="A21" s="270">
        <v>43040.0</v>
      </c>
      <c r="B21" s="271">
        <v>-130.35</v>
      </c>
    </row>
    <row r="22" ht="14.25" customHeight="1">
      <c r="A22" s="270">
        <v>43009.0</v>
      </c>
      <c r="B22" s="271">
        <v>-289.12</v>
      </c>
    </row>
    <row r="23" ht="14.25" customHeight="1">
      <c r="A23" s="270">
        <v>42979.0</v>
      </c>
      <c r="B23" s="271">
        <v>-215.58</v>
      </c>
    </row>
    <row r="24" ht="14.25" customHeight="1">
      <c r="A24" s="270">
        <v>42948.0</v>
      </c>
      <c r="B24" s="271">
        <v>-170.27</v>
      </c>
    </row>
    <row r="25" ht="14.25" customHeight="1">
      <c r="A25" s="270">
        <v>42917.0</v>
      </c>
      <c r="B25" s="271">
        <v>-464.82</v>
      </c>
    </row>
    <row r="26" ht="14.25" customHeight="1">
      <c r="A26" s="270">
        <v>42887.0</v>
      </c>
      <c r="B26" s="271">
        <v>-168.35</v>
      </c>
    </row>
    <row r="27" ht="14.25" customHeight="1">
      <c r="A27" s="270">
        <v>42856.0</v>
      </c>
      <c r="B27" s="271">
        <v>-886.75</v>
      </c>
    </row>
    <row r="28" ht="14.25" customHeight="1">
      <c r="A28" s="270">
        <v>42826.0</v>
      </c>
      <c r="B28" s="271">
        <v>-373.54</v>
      </c>
    </row>
    <row r="29" ht="14.25" customHeight="1">
      <c r="A29" s="270">
        <v>42795.0</v>
      </c>
      <c r="B29" s="271">
        <v>-55.23</v>
      </c>
    </row>
    <row r="30" ht="14.25" customHeight="1">
      <c r="A30" s="270">
        <v>42767.0</v>
      </c>
      <c r="B30" s="271">
        <v>-82.39</v>
      </c>
    </row>
    <row r="31" ht="14.25" customHeight="1">
      <c r="A31" s="270">
        <v>42736.0</v>
      </c>
      <c r="B31" s="271">
        <v>-426.11</v>
      </c>
    </row>
    <row r="32" ht="14.25" customHeight="1">
      <c r="A32" s="270">
        <v>42705.0</v>
      </c>
      <c r="B32" s="271">
        <v>-388.92</v>
      </c>
    </row>
    <row r="33" ht="14.25" customHeight="1">
      <c r="A33" s="270">
        <v>42675.0</v>
      </c>
      <c r="B33" s="271">
        <v>-1063.55</v>
      </c>
    </row>
    <row r="34" ht="14.25" customHeight="1">
      <c r="A34" s="270">
        <v>42644.0</v>
      </c>
      <c r="B34" s="271">
        <v>0.0</v>
      </c>
    </row>
    <row r="35" ht="14.25" customHeight="1">
      <c r="A35" s="270">
        <v>42614.0</v>
      </c>
      <c r="B35" s="271">
        <v>-47.18</v>
      </c>
    </row>
    <row r="36" ht="14.25" customHeight="1">
      <c r="A36" s="270">
        <v>42583.0</v>
      </c>
      <c r="B36" s="271">
        <v>-1438.72</v>
      </c>
    </row>
    <row r="37" ht="14.25" customHeight="1">
      <c r="A37" s="270">
        <v>42552.0</v>
      </c>
      <c r="B37" s="271">
        <v>-208.78</v>
      </c>
    </row>
    <row r="38" ht="14.25" customHeight="1">
      <c r="A38" s="270">
        <v>42522.0</v>
      </c>
      <c r="B38" s="271">
        <v>-83.03</v>
      </c>
    </row>
    <row r="39" ht="14.25" customHeight="1">
      <c r="A39" s="270">
        <v>42491.0</v>
      </c>
      <c r="B39" s="271">
        <v>-20.0</v>
      </c>
    </row>
    <row r="40" ht="14.25" customHeight="1">
      <c r="A40" s="270">
        <v>42461.0</v>
      </c>
      <c r="B40" s="271">
        <v>0.0</v>
      </c>
    </row>
    <row r="41" ht="14.25" customHeight="1">
      <c r="A41" s="270">
        <v>42430.0</v>
      </c>
      <c r="B41" s="271">
        <v>0.0</v>
      </c>
    </row>
    <row r="42" ht="14.25" customHeight="1">
      <c r="A42" s="270">
        <v>42401.0</v>
      </c>
      <c r="B42" s="271">
        <v>-138.03</v>
      </c>
    </row>
    <row r="43" ht="14.25" customHeight="1">
      <c r="A43" s="270">
        <v>42370.0</v>
      </c>
      <c r="B43" s="271">
        <v>-101.8</v>
      </c>
    </row>
    <row r="44" ht="14.25" customHeight="1">
      <c r="A44" s="270">
        <v>42339.0</v>
      </c>
      <c r="B44" s="271">
        <v>-265.03</v>
      </c>
    </row>
    <row r="45" ht="14.25" customHeight="1">
      <c r="A45" s="270">
        <v>42309.0</v>
      </c>
      <c r="B45" s="271">
        <v>-28.97</v>
      </c>
    </row>
    <row r="46" ht="14.25" customHeight="1">
      <c r="A46" s="270">
        <v>42278.0</v>
      </c>
      <c r="B46" s="271">
        <v>-160.67</v>
      </c>
    </row>
    <row r="47" ht="14.25" customHeight="1">
      <c r="A47" s="270">
        <v>42248.0</v>
      </c>
      <c r="B47" s="271">
        <v>-1401.46</v>
      </c>
    </row>
    <row r="48" ht="14.25" customHeight="1">
      <c r="A48" s="270">
        <v>42217.0</v>
      </c>
      <c r="B48" s="271">
        <v>-529.05</v>
      </c>
    </row>
    <row r="49" ht="14.25" customHeight="1">
      <c r="A49" s="270">
        <v>42186.0</v>
      </c>
      <c r="B49" s="271">
        <v>-0.12</v>
      </c>
    </row>
    <row r="50" ht="14.25" customHeight="1">
      <c r="A50" s="270">
        <v>42156.0</v>
      </c>
      <c r="B50" s="271">
        <v>-175.55</v>
      </c>
    </row>
    <row r="51" ht="14.25" customHeight="1">
      <c r="A51" s="270">
        <v>42125.0</v>
      </c>
      <c r="B51" s="271">
        <v>0.0</v>
      </c>
    </row>
    <row r="52" ht="14.25" customHeight="1">
      <c r="A52" s="270">
        <v>42095.0</v>
      </c>
      <c r="B52" s="271">
        <v>-10.14</v>
      </c>
    </row>
    <row r="53" ht="14.25" customHeight="1">
      <c r="A53" s="270">
        <v>42064.0</v>
      </c>
      <c r="B53" s="271">
        <v>-10.35</v>
      </c>
    </row>
    <row r="54" ht="14.25" customHeight="1">
      <c r="A54" s="270">
        <v>42036.0</v>
      </c>
      <c r="B54" s="271">
        <v>-751.92</v>
      </c>
    </row>
    <row r="55" ht="14.25" customHeight="1">
      <c r="A55" s="270">
        <v>42005.0</v>
      </c>
      <c r="B55" s="271">
        <v>-104.37</v>
      </c>
    </row>
    <row r="56" ht="14.25" customHeight="1">
      <c r="A56" s="270">
        <v>41974.0</v>
      </c>
      <c r="B56" s="271">
        <v>-206.93</v>
      </c>
    </row>
    <row r="57" ht="14.25" customHeight="1">
      <c r="A57" s="270">
        <v>41944.0</v>
      </c>
      <c r="B57" s="271">
        <v>-54.97</v>
      </c>
    </row>
    <row r="58" ht="14.25" customHeight="1">
      <c r="A58" s="270">
        <v>41913.0</v>
      </c>
      <c r="B58" s="271">
        <v>-294.43</v>
      </c>
    </row>
    <row r="59" ht="14.25" customHeight="1">
      <c r="A59" s="270">
        <v>41883.0</v>
      </c>
      <c r="B59" s="271">
        <v>-139.02</v>
      </c>
    </row>
    <row r="60" ht="14.25" customHeight="1">
      <c r="A60" s="270">
        <v>41852.0</v>
      </c>
      <c r="B60" s="271">
        <v>-355.78</v>
      </c>
    </row>
    <row r="61" ht="14.25" customHeight="1">
      <c r="A61" s="270">
        <v>41821.0</v>
      </c>
      <c r="B61" s="271">
        <v>-790.07</v>
      </c>
    </row>
    <row r="62" ht="14.25" customHeight="1">
      <c r="A62" s="270">
        <v>41791.0</v>
      </c>
      <c r="B62" s="271">
        <v>0.0</v>
      </c>
    </row>
    <row r="63" ht="14.25" customHeight="1">
      <c r="A63" s="270">
        <v>41760.0</v>
      </c>
      <c r="B63" s="271">
        <v>-91.39</v>
      </c>
    </row>
    <row r="64" ht="14.25" customHeight="1">
      <c r="A64" s="270">
        <v>41730.0</v>
      </c>
      <c r="B64" s="271">
        <v>-92.22</v>
      </c>
    </row>
    <row r="65" ht="14.25" customHeight="1">
      <c r="A65" s="270">
        <v>41699.0</v>
      </c>
      <c r="B65" s="271">
        <v>-1004.53</v>
      </c>
    </row>
    <row r="66" ht="14.25" customHeight="1">
      <c r="A66" s="270">
        <v>41671.0</v>
      </c>
      <c r="B66" s="271">
        <v>-319.47</v>
      </c>
    </row>
    <row r="67" ht="14.25" customHeight="1">
      <c r="A67" s="270">
        <v>41640.0</v>
      </c>
      <c r="B67" s="271">
        <v>-391.4</v>
      </c>
    </row>
    <row r="68" ht="14.25" customHeight="1">
      <c r="A68" s="270">
        <v>41609.0</v>
      </c>
      <c r="B68" s="271">
        <v>-779.28</v>
      </c>
    </row>
    <row r="69" ht="14.25" customHeight="1">
      <c r="A69" s="270">
        <v>41579.0</v>
      </c>
      <c r="B69" s="271">
        <v>-1480.97</v>
      </c>
    </row>
    <row r="70" ht="14.25" customHeight="1">
      <c r="A70" s="270">
        <v>41548.0</v>
      </c>
      <c r="B70" s="271">
        <v>-1153.18</v>
      </c>
    </row>
    <row r="71" ht="14.25" customHeight="1">
      <c r="A71" s="270">
        <v>41518.0</v>
      </c>
      <c r="B71" s="271">
        <v>-763.3</v>
      </c>
    </row>
    <row r="72" ht="14.25" customHeight="1">
      <c r="A72" s="270">
        <v>41487.0</v>
      </c>
      <c r="B72" s="271">
        <v>-196.0</v>
      </c>
    </row>
    <row r="73" ht="14.25" customHeight="1">
      <c r="A73" s="270">
        <v>41456.0</v>
      </c>
      <c r="B73" s="271">
        <v>-11.08</v>
      </c>
    </row>
    <row r="74" ht="14.25" customHeight="1">
      <c r="A74" s="270">
        <v>41426.0</v>
      </c>
      <c r="B74" s="271">
        <v>-4.0</v>
      </c>
    </row>
    <row r="75" ht="14.25" customHeight="1">
      <c r="A75" s="270">
        <v>41395.0</v>
      </c>
      <c r="B75" s="271">
        <v>-656.55</v>
      </c>
    </row>
    <row r="76" ht="14.25" customHeight="1">
      <c r="A76" s="270">
        <v>41365.0</v>
      </c>
      <c r="B76" s="271">
        <v>-3.82</v>
      </c>
    </row>
    <row r="77" ht="14.25" customHeight="1">
      <c r="A77" s="270">
        <v>41334.0</v>
      </c>
      <c r="B77" s="271">
        <v>-368.45</v>
      </c>
    </row>
    <row r="78" ht="14.25" customHeight="1">
      <c r="A78" s="270">
        <v>41306.0</v>
      </c>
      <c r="B78" s="271">
        <v>-39.94</v>
      </c>
    </row>
    <row r="79" ht="14.25" customHeight="1">
      <c r="A79" s="270">
        <v>41275.0</v>
      </c>
      <c r="B79" s="271">
        <v>-218.99</v>
      </c>
    </row>
    <row r="80" ht="14.25" customHeight="1">
      <c r="A80" s="270">
        <v>41244.0</v>
      </c>
      <c r="B80" s="271">
        <v>-253.57</v>
      </c>
    </row>
    <row r="81" ht="14.25" customHeight="1">
      <c r="A81" s="270">
        <v>41214.0</v>
      </c>
      <c r="B81" s="271">
        <v>-107.54</v>
      </c>
    </row>
    <row r="82" ht="14.25" customHeight="1">
      <c r="A82" s="270">
        <v>41183.0</v>
      </c>
      <c r="B82" s="271">
        <v>-251.19</v>
      </c>
    </row>
    <row r="83" ht="14.25" customHeight="1">
      <c r="A83" s="270">
        <v>41153.0</v>
      </c>
      <c r="B83" s="271">
        <v>-4682.23</v>
      </c>
    </row>
    <row r="84" ht="14.25" customHeight="1">
      <c r="A84" s="270">
        <v>41122.0</v>
      </c>
      <c r="B84" s="271">
        <v>-1634.47</v>
      </c>
    </row>
    <row r="85" ht="14.25" customHeight="1">
      <c r="A85" s="270">
        <v>41091.0</v>
      </c>
      <c r="B85" s="271">
        <v>-821.51</v>
      </c>
    </row>
    <row r="86" ht="14.25" customHeight="1">
      <c r="A86" s="270">
        <v>41061.0</v>
      </c>
      <c r="B86" s="271">
        <v>-820.3</v>
      </c>
    </row>
    <row r="87" ht="14.25" customHeight="1">
      <c r="A87" s="270">
        <v>41030.0</v>
      </c>
      <c r="B87" s="271">
        <v>-828.56</v>
      </c>
    </row>
    <row r="88" ht="14.25" customHeight="1">
      <c r="A88" s="270">
        <v>41000.0</v>
      </c>
      <c r="B88" s="271">
        <v>-1189.53</v>
      </c>
    </row>
    <row r="89" ht="14.25" customHeight="1">
      <c r="A89" s="270">
        <v>40969.0</v>
      </c>
      <c r="B89" s="271">
        <v>-1202.78</v>
      </c>
    </row>
    <row r="90" ht="14.25" customHeight="1">
      <c r="A90" s="270">
        <v>40940.0</v>
      </c>
      <c r="B90" s="271">
        <v>-394.05</v>
      </c>
    </row>
    <row r="91" ht="14.25" customHeight="1">
      <c r="A91" s="270">
        <v>40909.0</v>
      </c>
      <c r="B91" s="271">
        <v>-711.03</v>
      </c>
    </row>
    <row r="92" ht="14.25" customHeight="1">
      <c r="A92" s="270">
        <v>40878.0</v>
      </c>
      <c r="B92" s="271">
        <v>-689.47</v>
      </c>
    </row>
    <row r="93" ht="14.25" customHeight="1">
      <c r="A93" s="270">
        <v>40848.0</v>
      </c>
      <c r="B93" s="271">
        <v>-727.7</v>
      </c>
    </row>
    <row r="94" ht="14.25" customHeight="1">
      <c r="A94" s="270">
        <v>40817.0</v>
      </c>
      <c r="B94" s="271">
        <v>-702.17</v>
      </c>
    </row>
    <row r="95" ht="14.25" customHeight="1">
      <c r="A95" s="270">
        <v>40787.0</v>
      </c>
      <c r="B95" s="271">
        <v>-1013.39</v>
      </c>
    </row>
    <row r="96" ht="14.25" customHeight="1">
      <c r="A96" s="270">
        <v>40756.0</v>
      </c>
      <c r="B96" s="271">
        <v>-661.63</v>
      </c>
    </row>
    <row r="97" ht="14.25" customHeight="1">
      <c r="A97" s="270">
        <v>40725.0</v>
      </c>
      <c r="B97" s="271">
        <v>-287.66</v>
      </c>
    </row>
    <row r="98" ht="14.25" customHeight="1">
      <c r="A98" s="270">
        <v>40695.0</v>
      </c>
      <c r="B98" s="271">
        <v>-579.82</v>
      </c>
    </row>
    <row r="99" ht="14.25" customHeight="1">
      <c r="A99" s="270">
        <v>40664.0</v>
      </c>
      <c r="B99" s="271">
        <v>-754.81</v>
      </c>
    </row>
    <row r="100" ht="14.25" customHeight="1">
      <c r="A100" s="270">
        <v>40634.0</v>
      </c>
      <c r="B100" s="271">
        <v>-414.14</v>
      </c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9900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2.75"/>
  <cols>
    <col customWidth="1" min="1" max="1" width="10.29"/>
    <col customWidth="1" min="2" max="2" width="47.0"/>
    <col customWidth="1" min="3" max="3" width="12.57"/>
    <col customWidth="1" min="4" max="4" width="13.71"/>
  </cols>
  <sheetData>
    <row r="1" ht="14.25" customHeight="1">
      <c r="A1" s="269" t="s">
        <v>0</v>
      </c>
      <c r="B1" s="269" t="s">
        <v>61</v>
      </c>
      <c r="C1" s="272" t="s">
        <v>65</v>
      </c>
      <c r="D1" s="269" t="s">
        <v>714</v>
      </c>
    </row>
    <row r="2">
      <c r="A2" s="273">
        <v>43641.0</v>
      </c>
      <c r="B2" s="274" t="s">
        <v>715</v>
      </c>
      <c r="C2" s="275">
        <v>-3.9</v>
      </c>
      <c r="D2" s="128" t="str">
        <f t="shared" ref="D2:D18" si="1">IF(AND(IFERROR(SEARCH("De Giro",B2),"")="",IFERROR(SEARCH("Interne",B2),"")="",IFERROR(SEARCH("Google",B2),"")="",IFERROR(SEARCH("Finance",B2),"")="",IFERROR(SEARCH("Century 21",B2),"")="",IFERROR(SEARCH("Regul",B2),"")="",IFERROR(SEARCH("Florian",B2),"")="",C2&lt;0),"X","")</f>
        <v>X</v>
      </c>
    </row>
    <row r="3">
      <c r="A3" s="273">
        <v>43641.0</v>
      </c>
      <c r="B3" s="274" t="s">
        <v>720</v>
      </c>
      <c r="C3" s="275">
        <v>-2000.0</v>
      </c>
      <c r="D3" s="128" t="str">
        <f t="shared" si="1"/>
        <v/>
      </c>
    </row>
    <row r="4">
      <c r="A4" s="273">
        <v>43640.0</v>
      </c>
      <c r="B4" s="274" t="s">
        <v>721</v>
      </c>
      <c r="C4" s="275">
        <v>2000.0</v>
      </c>
      <c r="D4" s="128" t="str">
        <f t="shared" si="1"/>
        <v/>
      </c>
    </row>
    <row r="5">
      <c r="A5" s="273">
        <v>43636.0</v>
      </c>
      <c r="B5" s="274" t="s">
        <v>722</v>
      </c>
      <c r="C5" s="275">
        <v>-35.0</v>
      </c>
      <c r="D5" s="128" t="str">
        <f t="shared" si="1"/>
        <v>X</v>
      </c>
    </row>
    <row r="6">
      <c r="A6" s="273">
        <v>43635.0</v>
      </c>
      <c r="B6" s="274" t="s">
        <v>723</v>
      </c>
      <c r="C6" s="275">
        <v>75.0</v>
      </c>
      <c r="D6" s="128" t="str">
        <f t="shared" si="1"/>
        <v/>
      </c>
    </row>
    <row r="7">
      <c r="A7" s="273">
        <v>43634.0</v>
      </c>
      <c r="B7" s="274" t="s">
        <v>724</v>
      </c>
      <c r="C7" s="275">
        <v>-75.0</v>
      </c>
      <c r="D7" s="128" t="str">
        <f t="shared" si="1"/>
        <v/>
      </c>
    </row>
    <row r="8">
      <c r="A8" s="273">
        <v>43630.0</v>
      </c>
      <c r="B8" s="274" t="s">
        <v>725</v>
      </c>
      <c r="C8" s="275">
        <v>99.42</v>
      </c>
      <c r="D8" s="128" t="str">
        <f t="shared" si="1"/>
        <v/>
      </c>
    </row>
    <row r="9">
      <c r="A9" s="273">
        <v>43628.0</v>
      </c>
      <c r="B9" s="274" t="s">
        <v>727</v>
      </c>
      <c r="C9" s="275">
        <v>-144.17</v>
      </c>
      <c r="D9" s="128" t="str">
        <f t="shared" si="1"/>
        <v>X</v>
      </c>
    </row>
    <row r="10">
      <c r="A10" s="273">
        <v>43628.0</v>
      </c>
      <c r="B10" s="274" t="s">
        <v>728</v>
      </c>
      <c r="C10" s="275">
        <v>400.0</v>
      </c>
      <c r="D10" s="128" t="str">
        <f t="shared" si="1"/>
        <v/>
      </c>
    </row>
    <row r="11">
      <c r="A11" s="273">
        <v>43626.0</v>
      </c>
      <c r="B11" s="274" t="s">
        <v>729</v>
      </c>
      <c r="C11" s="275">
        <v>-340.6</v>
      </c>
      <c r="D11" s="128" t="str">
        <f t="shared" si="1"/>
        <v/>
      </c>
    </row>
    <row r="12">
      <c r="A12" s="122">
        <v>43623.0</v>
      </c>
      <c r="B12" s="276" t="s">
        <v>730</v>
      </c>
      <c r="C12" s="128">
        <v>100.0</v>
      </c>
      <c r="D12" s="128" t="str">
        <f t="shared" si="1"/>
        <v/>
      </c>
    </row>
    <row r="13">
      <c r="A13" s="273">
        <v>43622.0</v>
      </c>
      <c r="B13" s="274" t="s">
        <v>731</v>
      </c>
      <c r="C13" s="275">
        <v>100.0</v>
      </c>
      <c r="D13" s="128" t="str">
        <f t="shared" si="1"/>
        <v/>
      </c>
    </row>
    <row r="14">
      <c r="A14" s="273">
        <v>43621.0</v>
      </c>
      <c r="B14" s="274" t="s">
        <v>732</v>
      </c>
      <c r="C14" s="275">
        <v>-903.45</v>
      </c>
      <c r="D14" s="128" t="str">
        <f t="shared" si="1"/>
        <v/>
      </c>
    </row>
    <row r="15">
      <c r="A15" s="273">
        <v>43621.0</v>
      </c>
      <c r="B15" s="274" t="s">
        <v>733</v>
      </c>
      <c r="C15" s="275">
        <v>207.0</v>
      </c>
      <c r="D15" s="128" t="str">
        <f t="shared" si="1"/>
        <v/>
      </c>
    </row>
    <row r="16">
      <c r="A16" s="273">
        <v>43619.0</v>
      </c>
      <c r="B16" s="274" t="s">
        <v>734</v>
      </c>
      <c r="C16" s="275">
        <v>-25.0</v>
      </c>
      <c r="D16" s="128" t="str">
        <f t="shared" si="1"/>
        <v>X</v>
      </c>
    </row>
    <row r="17">
      <c r="A17" s="273">
        <v>43619.0</v>
      </c>
      <c r="B17" s="274" t="s">
        <v>735</v>
      </c>
      <c r="C17" s="275">
        <v>518.94</v>
      </c>
      <c r="D17" s="128" t="str">
        <f t="shared" si="1"/>
        <v/>
      </c>
    </row>
    <row r="18">
      <c r="A18" s="273">
        <v>43613.0</v>
      </c>
      <c r="B18" s="274" t="s">
        <v>736</v>
      </c>
      <c r="C18" s="275">
        <v>50.0</v>
      </c>
      <c r="D18" s="128" t="str">
        <f t="shared" si="1"/>
        <v/>
      </c>
    </row>
    <row r="19">
      <c r="A19" s="273">
        <v>43612.0</v>
      </c>
      <c r="B19" s="274" t="s">
        <v>737</v>
      </c>
      <c r="C19" s="275">
        <v>-5.9</v>
      </c>
      <c r="D19" s="128" t="s">
        <v>356</v>
      </c>
    </row>
    <row r="20">
      <c r="A20" s="273">
        <v>43606.0</v>
      </c>
      <c r="B20" s="274" t="s">
        <v>725</v>
      </c>
      <c r="C20" s="275">
        <v>19.59</v>
      </c>
      <c r="D20" s="128"/>
    </row>
    <row r="21">
      <c r="A21" s="273">
        <v>43605.0</v>
      </c>
      <c r="B21" s="274" t="s">
        <v>738</v>
      </c>
      <c r="C21" s="275">
        <v>14.0</v>
      </c>
      <c r="D21" s="128"/>
    </row>
    <row r="22">
      <c r="A22" s="273">
        <v>43602.0</v>
      </c>
      <c r="B22" s="274" t="s">
        <v>739</v>
      </c>
      <c r="C22" s="275">
        <v>-27.98</v>
      </c>
      <c r="D22" s="128" t="s">
        <v>356</v>
      </c>
    </row>
    <row r="23">
      <c r="A23" s="273">
        <v>43602.0</v>
      </c>
      <c r="B23" s="274" t="s">
        <v>740</v>
      </c>
      <c r="C23" s="275">
        <v>-14.0</v>
      </c>
      <c r="D23" s="128"/>
    </row>
    <row r="24">
      <c r="A24" s="273">
        <v>43601.0</v>
      </c>
      <c r="B24" s="274" t="s">
        <v>741</v>
      </c>
      <c r="C24" s="275">
        <v>-500.0</v>
      </c>
      <c r="D24" s="128"/>
    </row>
    <row r="25">
      <c r="A25" s="122">
        <v>43600.0</v>
      </c>
      <c r="B25" s="276" t="s">
        <v>730</v>
      </c>
      <c r="C25" s="128">
        <v>500.0</v>
      </c>
      <c r="D25" s="128"/>
    </row>
    <row r="26">
      <c r="A26" s="273">
        <v>43595.0</v>
      </c>
      <c r="B26" s="274" t="s">
        <v>729</v>
      </c>
      <c r="C26" s="275">
        <v>-340.6</v>
      </c>
      <c r="D26" s="128"/>
    </row>
    <row r="27">
      <c r="A27" s="273">
        <v>43593.0</v>
      </c>
      <c r="B27" s="274" t="s">
        <v>730</v>
      </c>
      <c r="C27" s="275">
        <v>500.0</v>
      </c>
      <c r="D27" s="128"/>
    </row>
    <row r="28">
      <c r="A28" s="273">
        <v>43592.0</v>
      </c>
      <c r="B28" s="274" t="s">
        <v>731</v>
      </c>
      <c r="C28" s="275">
        <v>100.0</v>
      </c>
      <c r="D28" s="128"/>
    </row>
    <row r="29">
      <c r="A29" s="273">
        <v>43591.0</v>
      </c>
      <c r="B29" s="274" t="s">
        <v>742</v>
      </c>
      <c r="C29" s="275">
        <v>-53.0</v>
      </c>
      <c r="D29" s="128" t="s">
        <v>356</v>
      </c>
    </row>
    <row r="30">
      <c r="A30" s="273">
        <v>43591.0</v>
      </c>
      <c r="B30" s="274" t="s">
        <v>732</v>
      </c>
      <c r="C30" s="275">
        <v>-903.45</v>
      </c>
      <c r="D30" s="128"/>
    </row>
    <row r="31">
      <c r="A31" s="273">
        <v>43591.0</v>
      </c>
      <c r="B31" s="274" t="s">
        <v>733</v>
      </c>
      <c r="C31" s="275">
        <v>207.0</v>
      </c>
      <c r="D31" s="128"/>
    </row>
    <row r="32">
      <c r="A32" s="273">
        <v>43587.0</v>
      </c>
      <c r="B32" s="274" t="s">
        <v>735</v>
      </c>
      <c r="C32" s="275">
        <v>502.2</v>
      </c>
      <c r="D32" s="128"/>
    </row>
    <row r="33">
      <c r="A33" s="273">
        <v>43560.0</v>
      </c>
      <c r="B33" s="274" t="s">
        <v>744</v>
      </c>
      <c r="C33" s="275">
        <v>-0.15</v>
      </c>
      <c r="D33" s="128" t="s">
        <v>356</v>
      </c>
    </row>
    <row r="34">
      <c r="A34" s="273">
        <v>43560.0</v>
      </c>
      <c r="B34" s="274" t="s">
        <v>732</v>
      </c>
      <c r="C34" s="275">
        <v>-903.45</v>
      </c>
      <c r="D34" s="128"/>
    </row>
    <row r="35">
      <c r="A35" s="273">
        <v>43558.0</v>
      </c>
      <c r="B35" s="274" t="s">
        <v>730</v>
      </c>
      <c r="C35" s="275">
        <v>500.0</v>
      </c>
      <c r="D35" s="128"/>
    </row>
    <row r="36">
      <c r="A36" s="273">
        <v>43557.0</v>
      </c>
      <c r="B36" s="274" t="s">
        <v>745</v>
      </c>
      <c r="C36" s="275">
        <v>-33.0</v>
      </c>
      <c r="D36" s="128" t="s">
        <v>356</v>
      </c>
    </row>
    <row r="37">
      <c r="A37" s="273">
        <v>43557.0</v>
      </c>
      <c r="B37" s="274" t="s">
        <v>746</v>
      </c>
      <c r="C37" s="275">
        <v>-15.0</v>
      </c>
      <c r="D37" s="128" t="s">
        <v>356</v>
      </c>
    </row>
    <row r="38">
      <c r="A38" s="273">
        <v>43557.0</v>
      </c>
      <c r="B38" s="274" t="s">
        <v>735</v>
      </c>
      <c r="C38" s="275">
        <v>510.88</v>
      </c>
      <c r="D38" s="128"/>
    </row>
    <row r="39">
      <c r="A39" s="273">
        <v>43556.0</v>
      </c>
      <c r="B39" s="274" t="s">
        <v>747</v>
      </c>
      <c r="C39" s="275">
        <v>-100.0</v>
      </c>
      <c r="D39" s="128" t="s">
        <v>356</v>
      </c>
    </row>
    <row r="40">
      <c r="A40" s="273">
        <v>43556.0</v>
      </c>
      <c r="B40" s="274" t="s">
        <v>748</v>
      </c>
      <c r="C40" s="275">
        <v>-12.06</v>
      </c>
      <c r="D40" s="128" t="s">
        <v>356</v>
      </c>
    </row>
    <row r="41">
      <c r="A41" s="273">
        <v>43540.0</v>
      </c>
      <c r="B41" s="274" t="s">
        <v>749</v>
      </c>
      <c r="C41" s="275">
        <v>-12.91</v>
      </c>
      <c r="D41" s="128" t="s">
        <v>356</v>
      </c>
    </row>
    <row r="42">
      <c r="A42" s="273">
        <v>43539.0</v>
      </c>
      <c r="B42" s="274" t="s">
        <v>740</v>
      </c>
      <c r="C42" s="275">
        <v>120.0</v>
      </c>
      <c r="D42" s="128"/>
    </row>
    <row r="43">
      <c r="A43" s="273">
        <v>43538.0</v>
      </c>
      <c r="B43" s="274" t="s">
        <v>753</v>
      </c>
      <c r="C43" s="275">
        <v>-4.91</v>
      </c>
      <c r="D43" s="128" t="s">
        <v>356</v>
      </c>
    </row>
    <row r="44">
      <c r="A44" s="273">
        <v>43538.0</v>
      </c>
      <c r="B44" s="274" t="s">
        <v>724</v>
      </c>
      <c r="C44" s="275">
        <v>-120.0</v>
      </c>
      <c r="D44" s="128"/>
    </row>
    <row r="45">
      <c r="A45" s="273">
        <v>43538.0</v>
      </c>
      <c r="B45" s="274" t="s">
        <v>754</v>
      </c>
      <c r="C45" s="275">
        <v>-100.0</v>
      </c>
      <c r="D45" s="128" t="s">
        <v>356</v>
      </c>
    </row>
    <row r="46">
      <c r="A46" s="273">
        <v>43535.0</v>
      </c>
      <c r="B46" s="274" t="s">
        <v>729</v>
      </c>
      <c r="C46" s="275">
        <v>-340.6</v>
      </c>
      <c r="D46" s="128"/>
    </row>
    <row r="47">
      <c r="A47" s="273">
        <v>43531.0</v>
      </c>
      <c r="B47" s="274" t="s">
        <v>730</v>
      </c>
      <c r="C47" s="275">
        <v>700.0</v>
      </c>
      <c r="D47" s="128"/>
    </row>
    <row r="48">
      <c r="A48" s="273">
        <v>43530.0</v>
      </c>
      <c r="B48" s="274" t="s">
        <v>731</v>
      </c>
      <c r="C48" s="275">
        <v>100.0</v>
      </c>
      <c r="D48" s="128"/>
    </row>
    <row r="49">
      <c r="A49" s="122">
        <v>43529.0</v>
      </c>
      <c r="B49" s="276" t="s">
        <v>735</v>
      </c>
      <c r="C49" s="128">
        <v>461.44</v>
      </c>
      <c r="D49" s="128"/>
    </row>
    <row r="50">
      <c r="A50" s="273">
        <v>43529.0</v>
      </c>
      <c r="B50" s="274" t="s">
        <v>733</v>
      </c>
      <c r="C50" s="275">
        <v>207.0</v>
      </c>
      <c r="D50" s="128"/>
    </row>
    <row r="51">
      <c r="A51" s="122">
        <v>43529.0</v>
      </c>
      <c r="B51" s="276" t="s">
        <v>732</v>
      </c>
      <c r="C51" s="128">
        <v>-903.45</v>
      </c>
      <c r="D51" s="128"/>
    </row>
    <row r="52">
      <c r="A52" s="273">
        <v>43517.0</v>
      </c>
      <c r="B52" s="274" t="s">
        <v>724</v>
      </c>
      <c r="C52" s="275">
        <v>-10.0</v>
      </c>
      <c r="D52" s="128"/>
    </row>
    <row r="53">
      <c r="A53" s="273">
        <v>43511.0</v>
      </c>
      <c r="B53" s="274" t="s">
        <v>755</v>
      </c>
      <c r="C53" s="275">
        <v>-2.39</v>
      </c>
      <c r="D53" s="128"/>
    </row>
    <row r="54">
      <c r="A54" s="273">
        <v>43510.0</v>
      </c>
      <c r="B54" s="274" t="s">
        <v>756</v>
      </c>
      <c r="C54" s="275">
        <v>-20.1</v>
      </c>
      <c r="D54" s="128" t="s">
        <v>356</v>
      </c>
    </row>
    <row r="55">
      <c r="A55" s="122">
        <v>43507.0</v>
      </c>
      <c r="B55" s="276" t="s">
        <v>729</v>
      </c>
      <c r="C55" s="128">
        <v>-340.6</v>
      </c>
      <c r="D55" s="128"/>
    </row>
    <row r="56">
      <c r="A56" s="273">
        <v>43504.0</v>
      </c>
      <c r="B56" s="274" t="s">
        <v>730</v>
      </c>
      <c r="C56" s="275">
        <v>400.0</v>
      </c>
      <c r="D56" s="128"/>
    </row>
    <row r="57">
      <c r="A57" s="122">
        <v>43502.0</v>
      </c>
      <c r="B57" s="276" t="s">
        <v>731</v>
      </c>
      <c r="C57" s="128">
        <v>100.0</v>
      </c>
      <c r="D57" s="128"/>
    </row>
    <row r="58">
      <c r="A58" s="273">
        <v>43501.0</v>
      </c>
      <c r="B58" s="274" t="s">
        <v>757</v>
      </c>
      <c r="C58" s="275">
        <v>-35.0</v>
      </c>
      <c r="D58" s="128" t="s">
        <v>356</v>
      </c>
    </row>
    <row r="59">
      <c r="A59" s="122">
        <v>43501.0</v>
      </c>
      <c r="B59" s="276" t="s">
        <v>732</v>
      </c>
      <c r="C59" s="128">
        <v>-903.45</v>
      </c>
      <c r="D59" s="128"/>
    </row>
    <row r="60">
      <c r="A60" s="273">
        <v>43501.0</v>
      </c>
      <c r="B60" s="274" t="s">
        <v>733</v>
      </c>
      <c r="C60" s="275">
        <v>207.0</v>
      </c>
      <c r="D60" s="128"/>
    </row>
    <row r="61">
      <c r="A61" s="273">
        <v>43479.0</v>
      </c>
      <c r="B61" s="274" t="s">
        <v>758</v>
      </c>
      <c r="C61" s="275">
        <v>-1.76</v>
      </c>
      <c r="D61" s="128" t="s">
        <v>356</v>
      </c>
    </row>
    <row r="62">
      <c r="A62" s="273">
        <v>43475.0</v>
      </c>
      <c r="B62" s="274" t="s">
        <v>729</v>
      </c>
      <c r="C62" s="275">
        <v>-340.6</v>
      </c>
      <c r="D62" s="128"/>
    </row>
    <row r="63">
      <c r="A63" s="122">
        <v>43474.0</v>
      </c>
      <c r="B63" s="276" t="s">
        <v>759</v>
      </c>
      <c r="C63" s="128">
        <v>-1000.0</v>
      </c>
      <c r="D63" s="128"/>
    </row>
    <row r="64">
      <c r="A64" s="273">
        <v>43473.0</v>
      </c>
      <c r="B64" s="274" t="s">
        <v>730</v>
      </c>
      <c r="C64" s="275">
        <v>1500.0</v>
      </c>
      <c r="D64" s="128"/>
    </row>
    <row r="65">
      <c r="A65" s="273">
        <v>43473.0</v>
      </c>
      <c r="B65" s="274" t="s">
        <v>731</v>
      </c>
      <c r="C65" s="275">
        <v>100.0</v>
      </c>
      <c r="D65" s="128"/>
    </row>
    <row r="66">
      <c r="A66" s="273">
        <v>43472.0</v>
      </c>
      <c r="B66" s="274" t="s">
        <v>732</v>
      </c>
      <c r="C66" s="275">
        <v>-903.45</v>
      </c>
      <c r="D66" s="128"/>
    </row>
    <row r="67">
      <c r="A67" s="273">
        <v>43470.0</v>
      </c>
      <c r="B67" s="274" t="s">
        <v>760</v>
      </c>
      <c r="C67" s="275">
        <v>-35.0</v>
      </c>
      <c r="D67" s="128" t="s">
        <v>356</v>
      </c>
    </row>
    <row r="68">
      <c r="A68" s="273">
        <v>43467.0</v>
      </c>
      <c r="B68" s="274" t="s">
        <v>735</v>
      </c>
      <c r="C68" s="275">
        <v>510.88</v>
      </c>
      <c r="D68" s="128"/>
    </row>
    <row r="69">
      <c r="A69" s="273">
        <v>43454.0</v>
      </c>
      <c r="B69" s="274" t="s">
        <v>761</v>
      </c>
      <c r="C69" s="275">
        <v>-155.0</v>
      </c>
      <c r="D69" s="128"/>
    </row>
    <row r="70">
      <c r="A70" s="273">
        <v>43453.0</v>
      </c>
      <c r="B70" s="274" t="s">
        <v>735</v>
      </c>
      <c r="C70" s="275">
        <v>152.45</v>
      </c>
      <c r="D70" s="128"/>
    </row>
    <row r="71">
      <c r="A71" s="273">
        <v>43445.0</v>
      </c>
      <c r="B71" s="274" t="s">
        <v>740</v>
      </c>
      <c r="C71" s="275">
        <v>55.0</v>
      </c>
      <c r="D71" s="128"/>
    </row>
    <row r="72">
      <c r="A72" s="273">
        <v>43444.0</v>
      </c>
      <c r="B72" s="274" t="s">
        <v>724</v>
      </c>
      <c r="C72" s="275">
        <v>-55.0</v>
      </c>
      <c r="D72" s="128"/>
    </row>
    <row r="73">
      <c r="A73" s="273">
        <v>43444.0</v>
      </c>
      <c r="B73" s="274" t="s">
        <v>762</v>
      </c>
      <c r="C73" s="275">
        <v>-1000.0</v>
      </c>
      <c r="D73" s="128"/>
    </row>
    <row r="74">
      <c r="A74" s="273">
        <v>43444.0</v>
      </c>
      <c r="B74" s="274" t="s">
        <v>729</v>
      </c>
      <c r="C74" s="275">
        <v>-340.6</v>
      </c>
      <c r="D74" s="128"/>
    </row>
    <row r="75">
      <c r="A75" s="273">
        <v>43440.0</v>
      </c>
      <c r="B75" s="274" t="s">
        <v>763</v>
      </c>
      <c r="C75" s="275">
        <v>-41.85</v>
      </c>
      <c r="D75" s="128" t="s">
        <v>356</v>
      </c>
    </row>
    <row r="76">
      <c r="A76" s="273">
        <v>43440.0</v>
      </c>
      <c r="B76" s="274" t="s">
        <v>763</v>
      </c>
      <c r="C76" s="275">
        <v>-101.8</v>
      </c>
      <c r="D76" s="128" t="s">
        <v>356</v>
      </c>
    </row>
    <row r="77">
      <c r="A77" s="273">
        <v>43440.0</v>
      </c>
      <c r="B77" s="274" t="s">
        <v>731</v>
      </c>
      <c r="C77" s="275">
        <v>100.0</v>
      </c>
      <c r="D77" s="128"/>
    </row>
    <row r="78">
      <c r="A78" s="273">
        <v>43440.0</v>
      </c>
      <c r="B78" s="274" t="s">
        <v>764</v>
      </c>
      <c r="C78" s="275">
        <v>140.0</v>
      </c>
      <c r="D78" s="128"/>
    </row>
    <row r="79">
      <c r="A79" s="273">
        <v>43439.0</v>
      </c>
      <c r="B79" s="274" t="s">
        <v>732</v>
      </c>
      <c r="C79" s="275">
        <v>-903.45</v>
      </c>
      <c r="D79" s="128"/>
    </row>
    <row r="80">
      <c r="A80" s="273">
        <v>43439.0</v>
      </c>
      <c r="B80" s="274" t="s">
        <v>733</v>
      </c>
      <c r="C80" s="275">
        <v>207.0</v>
      </c>
      <c r="D80" s="128"/>
    </row>
    <row r="81">
      <c r="A81" s="273">
        <v>43438.0</v>
      </c>
      <c r="B81" s="274" t="s">
        <v>735</v>
      </c>
      <c r="C81" s="275">
        <v>494.4</v>
      </c>
      <c r="D81" s="128"/>
    </row>
    <row r="82">
      <c r="A82" s="273">
        <v>43437.0</v>
      </c>
      <c r="B82" s="274" t="s">
        <v>765</v>
      </c>
      <c r="C82" s="275">
        <v>-76.0</v>
      </c>
      <c r="D82" s="128" t="s">
        <v>356</v>
      </c>
    </row>
    <row r="83">
      <c r="A83" s="273">
        <v>43437.0</v>
      </c>
      <c r="B83" s="274" t="s">
        <v>766</v>
      </c>
      <c r="C83" s="275">
        <v>-23.6</v>
      </c>
      <c r="D83" s="128" t="s">
        <v>356</v>
      </c>
    </row>
    <row r="84">
      <c r="A84" s="273">
        <v>43437.0</v>
      </c>
      <c r="B84" s="274" t="s">
        <v>766</v>
      </c>
      <c r="C84" s="275">
        <v>-82.0</v>
      </c>
      <c r="D84" s="128" t="s">
        <v>356</v>
      </c>
    </row>
    <row r="85">
      <c r="A85" s="273">
        <v>43437.0</v>
      </c>
      <c r="B85" s="274" t="s">
        <v>768</v>
      </c>
      <c r="C85" s="275">
        <v>185.0</v>
      </c>
      <c r="D85" s="128"/>
    </row>
    <row r="86">
      <c r="A86" s="273">
        <v>43430.0</v>
      </c>
      <c r="B86" s="274" t="s">
        <v>769</v>
      </c>
      <c r="C86" s="275">
        <v>-34.0</v>
      </c>
      <c r="D86" s="128"/>
    </row>
    <row r="87">
      <c r="A87" s="273">
        <v>43430.0</v>
      </c>
      <c r="B87" s="274" t="s">
        <v>770</v>
      </c>
      <c r="C87" s="275">
        <v>33.12</v>
      </c>
      <c r="D87" s="128"/>
    </row>
    <row r="88">
      <c r="A88" s="273">
        <v>43417.0</v>
      </c>
      <c r="B88" s="274" t="s">
        <v>771</v>
      </c>
      <c r="C88" s="275">
        <v>-7.45</v>
      </c>
      <c r="D88" s="128" t="s">
        <v>356</v>
      </c>
    </row>
    <row r="89">
      <c r="A89" s="273">
        <v>43416.0</v>
      </c>
      <c r="B89" s="274" t="s">
        <v>772</v>
      </c>
      <c r="C89" s="275">
        <v>-16.1</v>
      </c>
      <c r="D89" s="128" t="s">
        <v>356</v>
      </c>
    </row>
    <row r="90">
      <c r="A90" s="273">
        <v>43416.0</v>
      </c>
      <c r="B90" s="274" t="s">
        <v>773</v>
      </c>
      <c r="C90" s="275">
        <v>-77.0</v>
      </c>
      <c r="D90" s="128" t="s">
        <v>356</v>
      </c>
    </row>
    <row r="91">
      <c r="A91" s="273">
        <v>43416.0</v>
      </c>
      <c r="B91" s="274" t="s">
        <v>774</v>
      </c>
      <c r="C91" s="275">
        <v>-33.0</v>
      </c>
      <c r="D91" s="128" t="s">
        <v>356</v>
      </c>
    </row>
    <row r="92">
      <c r="A92" s="273">
        <v>43416.0</v>
      </c>
      <c r="B92" s="274" t="s">
        <v>729</v>
      </c>
      <c r="C92" s="275">
        <v>-340.6</v>
      </c>
      <c r="D92" s="128"/>
    </row>
    <row r="93">
      <c r="A93" s="273">
        <v>43411.0</v>
      </c>
      <c r="B93" s="274" t="s">
        <v>775</v>
      </c>
      <c r="C93" s="275">
        <v>-45.0</v>
      </c>
      <c r="D93" s="128"/>
    </row>
    <row r="94">
      <c r="A94" s="273">
        <v>43410.0</v>
      </c>
      <c r="B94" s="274" t="s">
        <v>731</v>
      </c>
      <c r="C94" s="275">
        <v>100.0</v>
      </c>
      <c r="D94" s="128"/>
    </row>
    <row r="95">
      <c r="A95" s="273">
        <v>43410.0</v>
      </c>
      <c r="B95" s="274" t="s">
        <v>776</v>
      </c>
      <c r="C95" s="275">
        <v>45.0</v>
      </c>
      <c r="D95" s="128"/>
    </row>
    <row r="96">
      <c r="A96" s="273">
        <v>43409.0</v>
      </c>
      <c r="B96" s="274" t="s">
        <v>732</v>
      </c>
      <c r="C96" s="275">
        <v>-903.45</v>
      </c>
      <c r="D96" s="128"/>
    </row>
    <row r="97">
      <c r="A97" s="273">
        <v>43398.0</v>
      </c>
      <c r="B97" s="274" t="s">
        <v>777</v>
      </c>
      <c r="C97" s="275">
        <v>-0.66</v>
      </c>
      <c r="D97" s="128" t="s">
        <v>356</v>
      </c>
    </row>
    <row r="98">
      <c r="A98" s="273">
        <v>43398.0</v>
      </c>
      <c r="B98" s="274" t="s">
        <v>778</v>
      </c>
      <c r="C98" s="275">
        <v>-922.0</v>
      </c>
      <c r="D98" s="128"/>
    </row>
    <row r="99">
      <c r="A99" s="273">
        <v>43397.0</v>
      </c>
      <c r="B99" s="274" t="s">
        <v>720</v>
      </c>
      <c r="C99" s="275">
        <v>-6060.0</v>
      </c>
      <c r="D99" s="128"/>
    </row>
    <row r="100">
      <c r="A100" s="273">
        <v>43397.0</v>
      </c>
      <c r="B100" s="274" t="s">
        <v>725</v>
      </c>
      <c r="C100" s="275">
        <v>6.5</v>
      </c>
      <c r="D100" s="128"/>
    </row>
    <row r="101">
      <c r="A101" s="273">
        <v>43396.0</v>
      </c>
      <c r="B101" s="274" t="s">
        <v>758</v>
      </c>
      <c r="C101" s="275">
        <v>-0.8</v>
      </c>
      <c r="D101" s="128" t="s">
        <v>356</v>
      </c>
    </row>
    <row r="102">
      <c r="A102" s="273">
        <v>43395.0</v>
      </c>
      <c r="B102" s="274" t="s">
        <v>740</v>
      </c>
      <c r="C102" s="275">
        <v>9.2</v>
      </c>
      <c r="D102" s="128"/>
    </row>
    <row r="103">
      <c r="A103" s="273">
        <v>43395.0</v>
      </c>
      <c r="B103" s="274" t="s">
        <v>779</v>
      </c>
      <c r="C103" s="275">
        <v>7000.0</v>
      </c>
      <c r="D103" s="128"/>
    </row>
    <row r="104">
      <c r="A104" s="273">
        <v>43383.0</v>
      </c>
      <c r="B104" s="274" t="s">
        <v>780</v>
      </c>
      <c r="C104" s="275">
        <v>-134.17</v>
      </c>
      <c r="D104" s="128" t="s">
        <v>356</v>
      </c>
    </row>
    <row r="105">
      <c r="A105" s="273">
        <v>43383.0</v>
      </c>
      <c r="B105" s="274" t="s">
        <v>729</v>
      </c>
      <c r="C105" s="275">
        <v>-340.6</v>
      </c>
      <c r="D105" s="128"/>
    </row>
    <row r="106">
      <c r="A106" s="273">
        <v>43381.0</v>
      </c>
      <c r="B106" s="274" t="s">
        <v>731</v>
      </c>
      <c r="C106" s="275">
        <v>100.0</v>
      </c>
      <c r="D106" s="128"/>
    </row>
    <row r="107">
      <c r="A107" s="273">
        <v>43378.0</v>
      </c>
      <c r="B107" s="274" t="s">
        <v>781</v>
      </c>
      <c r="C107" s="275">
        <v>-0.72</v>
      </c>
      <c r="D107" s="128" t="s">
        <v>356</v>
      </c>
    </row>
    <row r="108">
      <c r="A108" s="273">
        <v>43378.0</v>
      </c>
      <c r="B108" s="274" t="s">
        <v>782</v>
      </c>
      <c r="C108" s="275">
        <v>-890.0</v>
      </c>
      <c r="D108" s="128"/>
    </row>
    <row r="109">
      <c r="A109" s="273">
        <v>43378.0</v>
      </c>
      <c r="B109" s="274" t="s">
        <v>783</v>
      </c>
      <c r="C109" s="275">
        <v>800.0</v>
      </c>
      <c r="D109" s="128"/>
    </row>
    <row r="110">
      <c r="A110" s="273">
        <v>43377.0</v>
      </c>
      <c r="B110" s="274" t="s">
        <v>784</v>
      </c>
      <c r="C110" s="275">
        <v>-1.0</v>
      </c>
      <c r="D110" s="128"/>
    </row>
    <row r="111">
      <c r="A111" s="273">
        <v>43377.0</v>
      </c>
      <c r="B111" s="274" t="s">
        <v>785</v>
      </c>
      <c r="C111" s="275">
        <v>-5.0</v>
      </c>
      <c r="D111" s="128" t="s">
        <v>356</v>
      </c>
    </row>
    <row r="112">
      <c r="A112" s="273">
        <v>43377.0</v>
      </c>
      <c r="B112" s="274" t="s">
        <v>784</v>
      </c>
      <c r="C112" s="275">
        <v>1.0</v>
      </c>
      <c r="D112" s="128"/>
    </row>
    <row r="113">
      <c r="A113" s="273">
        <v>43375.0</v>
      </c>
      <c r="B113" s="274" t="s">
        <v>735</v>
      </c>
      <c r="C113" s="275">
        <v>494.4</v>
      </c>
      <c r="D113" s="128"/>
    </row>
    <row r="114">
      <c r="A114" s="273">
        <v>43356.0</v>
      </c>
      <c r="B114" s="274" t="s">
        <v>720</v>
      </c>
      <c r="C114" s="275">
        <v>-440.0</v>
      </c>
      <c r="D114" s="128"/>
    </row>
    <row r="115">
      <c r="A115" s="273">
        <v>43355.0</v>
      </c>
      <c r="B115" s="274" t="s">
        <v>730</v>
      </c>
      <c r="C115" s="275">
        <v>500.0</v>
      </c>
      <c r="D115" s="128"/>
    </row>
    <row r="116">
      <c r="A116" s="273">
        <v>43354.0</v>
      </c>
      <c r="B116" s="274" t="s">
        <v>738</v>
      </c>
      <c r="C116" s="275">
        <v>350.0</v>
      </c>
      <c r="D116" s="128"/>
    </row>
    <row r="117">
      <c r="A117" s="273">
        <v>43354.0</v>
      </c>
      <c r="B117" s="274" t="s">
        <v>740</v>
      </c>
      <c r="C117" s="275">
        <v>-350.0</v>
      </c>
      <c r="D117" s="128"/>
    </row>
    <row r="118">
      <c r="A118" s="273">
        <v>43353.0</v>
      </c>
      <c r="B118" s="274" t="s">
        <v>729</v>
      </c>
      <c r="C118" s="275">
        <v>-340.6</v>
      </c>
      <c r="D118" s="128"/>
    </row>
    <row r="119">
      <c r="A119" s="273">
        <v>43351.0</v>
      </c>
      <c r="B119" s="274" t="s">
        <v>789</v>
      </c>
      <c r="C119" s="275">
        <v>2.01</v>
      </c>
      <c r="D119" s="128"/>
    </row>
    <row r="120">
      <c r="A120" s="273">
        <v>43351.0</v>
      </c>
      <c r="B120" s="274" t="s">
        <v>789</v>
      </c>
      <c r="C120" s="275">
        <v>3.05</v>
      </c>
      <c r="D120" s="128"/>
    </row>
    <row r="121">
      <c r="A121" s="273">
        <v>43349.0</v>
      </c>
      <c r="B121" s="274" t="s">
        <v>731</v>
      </c>
      <c r="C121" s="275">
        <v>100.0</v>
      </c>
      <c r="D121" s="128"/>
    </row>
    <row r="122">
      <c r="A122" s="273">
        <v>43348.0</v>
      </c>
      <c r="B122" s="274" t="s">
        <v>782</v>
      </c>
      <c r="C122" s="275">
        <v>-890.0</v>
      </c>
      <c r="D122" s="128"/>
    </row>
    <row r="123">
      <c r="A123" s="273">
        <v>43348.0</v>
      </c>
      <c r="B123" s="274" t="s">
        <v>733</v>
      </c>
      <c r="C123" s="275">
        <v>207.0</v>
      </c>
      <c r="D123" s="128"/>
    </row>
    <row r="124">
      <c r="A124" s="273">
        <v>43347.0</v>
      </c>
      <c r="B124" s="274" t="s">
        <v>789</v>
      </c>
      <c r="C124" s="275">
        <v>-2.02</v>
      </c>
      <c r="D124" s="128" t="s">
        <v>356</v>
      </c>
    </row>
    <row r="125">
      <c r="A125" s="273">
        <v>43347.0</v>
      </c>
      <c r="B125" s="274" t="s">
        <v>789</v>
      </c>
      <c r="C125" s="275">
        <v>-3.07</v>
      </c>
      <c r="D125" s="128" t="s">
        <v>356</v>
      </c>
    </row>
    <row r="126">
      <c r="A126" s="273">
        <v>43347.0</v>
      </c>
      <c r="B126" s="274" t="s">
        <v>791</v>
      </c>
      <c r="C126" s="275">
        <v>0.91</v>
      </c>
      <c r="D126" s="128"/>
    </row>
    <row r="127">
      <c r="A127" s="273">
        <v>43347.0</v>
      </c>
      <c r="B127" s="274" t="s">
        <v>789</v>
      </c>
      <c r="C127" s="275">
        <v>2.03</v>
      </c>
      <c r="D127" s="128"/>
    </row>
    <row r="128">
      <c r="A128" s="273">
        <v>43347.0</v>
      </c>
      <c r="B128" s="274" t="s">
        <v>792</v>
      </c>
      <c r="C128" s="275">
        <v>8.1</v>
      </c>
      <c r="D128" s="128"/>
    </row>
    <row r="129">
      <c r="A129" s="273">
        <v>43346.0</v>
      </c>
      <c r="B129" s="274" t="s">
        <v>735</v>
      </c>
      <c r="C129" s="275">
        <v>510.88</v>
      </c>
      <c r="D129" s="128"/>
    </row>
    <row r="130">
      <c r="A130" s="273">
        <v>43346.0</v>
      </c>
      <c r="B130" s="274" t="s">
        <v>793</v>
      </c>
      <c r="C130" s="275">
        <v>-26.34</v>
      </c>
      <c r="D130" s="128" t="s">
        <v>356</v>
      </c>
    </row>
    <row r="131">
      <c r="A131" s="273">
        <v>43346.0</v>
      </c>
      <c r="B131" s="274" t="s">
        <v>794</v>
      </c>
      <c r="C131" s="275">
        <v>-1.67</v>
      </c>
      <c r="D131" s="128" t="s">
        <v>356</v>
      </c>
    </row>
    <row r="132">
      <c r="A132" s="273">
        <v>43346.0</v>
      </c>
      <c r="B132" s="274" t="s">
        <v>795</v>
      </c>
      <c r="C132" s="275">
        <v>-38.25</v>
      </c>
      <c r="D132" s="128" t="s">
        <v>356</v>
      </c>
    </row>
    <row r="133">
      <c r="A133" s="273">
        <v>43346.0</v>
      </c>
      <c r="B133" s="274" t="s">
        <v>796</v>
      </c>
      <c r="C133" s="275">
        <v>30.53</v>
      </c>
      <c r="D133" s="128"/>
    </row>
    <row r="134">
      <c r="A134" s="273">
        <v>43346.0</v>
      </c>
      <c r="B134" s="274" t="s">
        <v>797</v>
      </c>
      <c r="C134" s="275">
        <v>13.53</v>
      </c>
      <c r="D134" s="128"/>
    </row>
    <row r="135">
      <c r="A135" s="273">
        <v>43346.0</v>
      </c>
      <c r="B135" s="274" t="s">
        <v>792</v>
      </c>
      <c r="C135" s="275">
        <v>1.01</v>
      </c>
      <c r="D135" s="128"/>
    </row>
    <row r="136">
      <c r="A136" s="273">
        <v>43346.0</v>
      </c>
      <c r="B136" s="274" t="s">
        <v>792</v>
      </c>
      <c r="C136" s="275">
        <v>5.32</v>
      </c>
      <c r="D136" s="128"/>
    </row>
    <row r="137">
      <c r="A137" s="273">
        <v>43342.0</v>
      </c>
      <c r="B137" s="274" t="s">
        <v>798</v>
      </c>
      <c r="C137" s="275">
        <v>25.15</v>
      </c>
      <c r="D137" s="128"/>
    </row>
    <row r="138">
      <c r="A138" s="122">
        <v>43341.0</v>
      </c>
      <c r="B138" s="276" t="s">
        <v>791</v>
      </c>
      <c r="C138" s="128">
        <v>1.02</v>
      </c>
      <c r="D138" s="128"/>
    </row>
    <row r="139">
      <c r="A139" s="273">
        <v>43341.0</v>
      </c>
      <c r="B139" s="274" t="s">
        <v>789</v>
      </c>
      <c r="C139" s="275">
        <v>9.03</v>
      </c>
      <c r="D139" s="128"/>
    </row>
    <row r="140">
      <c r="A140" s="273">
        <v>43341.0</v>
      </c>
      <c r="B140" s="274" t="s">
        <v>792</v>
      </c>
      <c r="C140" s="275">
        <v>7.53</v>
      </c>
      <c r="D140" s="128"/>
    </row>
    <row r="141">
      <c r="A141" s="273">
        <v>43341.0</v>
      </c>
      <c r="B141" s="274" t="s">
        <v>792</v>
      </c>
      <c r="C141" s="275">
        <v>8.56</v>
      </c>
      <c r="D141" s="128"/>
    </row>
    <row r="142">
      <c r="A142" s="273">
        <v>43341.0</v>
      </c>
      <c r="B142" s="274" t="s">
        <v>789</v>
      </c>
      <c r="C142" s="275">
        <v>-2.01</v>
      </c>
      <c r="D142" s="128" t="s">
        <v>356</v>
      </c>
    </row>
    <row r="143">
      <c r="A143" s="273">
        <v>43341.0</v>
      </c>
      <c r="B143" s="274" t="s">
        <v>789</v>
      </c>
      <c r="C143" s="275">
        <v>-3.05</v>
      </c>
      <c r="D143" s="128" t="s">
        <v>356</v>
      </c>
    </row>
    <row r="144">
      <c r="A144" s="273">
        <v>43341.0</v>
      </c>
      <c r="B144" s="274" t="s">
        <v>789</v>
      </c>
      <c r="C144" s="275">
        <v>-2.02</v>
      </c>
      <c r="D144" s="128" t="s">
        <v>356</v>
      </c>
    </row>
    <row r="145">
      <c r="A145" s="273">
        <v>43341.0</v>
      </c>
      <c r="B145" s="274" t="s">
        <v>792</v>
      </c>
      <c r="C145" s="275">
        <v>-8.07</v>
      </c>
      <c r="D145" s="128" t="s">
        <v>356</v>
      </c>
    </row>
    <row r="146">
      <c r="A146" s="273">
        <v>43340.0</v>
      </c>
      <c r="B146" s="274" t="s">
        <v>789</v>
      </c>
      <c r="C146" s="275">
        <v>1.02</v>
      </c>
      <c r="D146" s="128"/>
    </row>
    <row r="147">
      <c r="A147" s="273">
        <v>43340.0</v>
      </c>
      <c r="B147" s="274" t="s">
        <v>789</v>
      </c>
      <c r="C147" s="275">
        <v>4.41</v>
      </c>
      <c r="D147" s="128"/>
    </row>
    <row r="148">
      <c r="A148" s="273">
        <v>43340.0</v>
      </c>
      <c r="B148" s="274" t="s">
        <v>789</v>
      </c>
      <c r="C148" s="275">
        <v>4.62</v>
      </c>
      <c r="D148" s="128"/>
    </row>
    <row r="149">
      <c r="A149" s="273">
        <v>43339.0</v>
      </c>
      <c r="B149" s="274" t="s">
        <v>799</v>
      </c>
      <c r="C149" s="275">
        <v>-1.35</v>
      </c>
      <c r="D149" s="128" t="s">
        <v>356</v>
      </c>
    </row>
    <row r="150">
      <c r="A150" s="273">
        <v>43339.0</v>
      </c>
      <c r="B150" s="274">
        <v>630380.0</v>
      </c>
      <c r="C150" s="275">
        <v>-79.57</v>
      </c>
      <c r="D150" s="128" t="s">
        <v>356</v>
      </c>
    </row>
    <row r="151">
      <c r="A151" s="273">
        <v>43339.0</v>
      </c>
      <c r="B151" s="274" t="s">
        <v>796</v>
      </c>
      <c r="C151" s="275">
        <v>-30.14</v>
      </c>
      <c r="D151" s="128" t="s">
        <v>356</v>
      </c>
    </row>
    <row r="152">
      <c r="A152" s="273">
        <v>43339.0</v>
      </c>
      <c r="B152" s="274" t="s">
        <v>791</v>
      </c>
      <c r="C152" s="275">
        <v>-0.91</v>
      </c>
      <c r="D152" s="128" t="s">
        <v>356</v>
      </c>
    </row>
    <row r="153">
      <c r="A153" s="273">
        <v>43339.0</v>
      </c>
      <c r="B153" s="274" t="s">
        <v>794</v>
      </c>
      <c r="C153" s="275">
        <v>-1.67</v>
      </c>
      <c r="D153" s="128" t="s">
        <v>356</v>
      </c>
    </row>
    <row r="154">
      <c r="A154" s="273">
        <v>43339.0</v>
      </c>
      <c r="B154" s="274" t="s">
        <v>792</v>
      </c>
      <c r="C154" s="275">
        <v>-1.0</v>
      </c>
      <c r="D154" s="128" t="s">
        <v>356</v>
      </c>
    </row>
    <row r="155">
      <c r="A155" s="273">
        <v>43339.0</v>
      </c>
      <c r="B155" s="274" t="s">
        <v>792</v>
      </c>
      <c r="C155" s="275">
        <v>-5.25</v>
      </c>
      <c r="D155" s="128" t="s">
        <v>356</v>
      </c>
    </row>
    <row r="156">
      <c r="A156" s="273">
        <v>43339.0</v>
      </c>
      <c r="B156" s="274" t="s">
        <v>800</v>
      </c>
      <c r="C156" s="275">
        <v>-13.47</v>
      </c>
      <c r="D156" s="128" t="s">
        <v>356</v>
      </c>
    </row>
    <row r="157">
      <c r="A157" s="273">
        <v>43338.0</v>
      </c>
      <c r="B157" s="274" t="s">
        <v>801</v>
      </c>
      <c r="C157" s="275">
        <v>-79.21</v>
      </c>
      <c r="D157" s="128" t="s">
        <v>356</v>
      </c>
    </row>
    <row r="158">
      <c r="A158" s="273">
        <v>43337.0</v>
      </c>
      <c r="B158" s="274" t="s">
        <v>791</v>
      </c>
      <c r="C158" s="275">
        <v>5.29</v>
      </c>
      <c r="D158" s="128"/>
    </row>
    <row r="159">
      <c r="A159" s="273">
        <v>43337.0</v>
      </c>
      <c r="B159" s="274" t="s">
        <v>789</v>
      </c>
      <c r="C159" s="275">
        <v>3.94</v>
      </c>
      <c r="D159" s="128"/>
    </row>
    <row r="160">
      <c r="A160" s="273">
        <v>43337.0</v>
      </c>
      <c r="B160" s="274" t="s">
        <v>789</v>
      </c>
      <c r="C160" s="275">
        <v>6.04</v>
      </c>
      <c r="D160" s="128"/>
    </row>
    <row r="161">
      <c r="A161" s="273">
        <v>43335.0</v>
      </c>
      <c r="B161" s="274" t="s">
        <v>798</v>
      </c>
      <c r="C161" s="275">
        <v>-25.11</v>
      </c>
      <c r="D161" s="128" t="s">
        <v>356</v>
      </c>
    </row>
    <row r="162">
      <c r="A162" s="273">
        <v>43335.0</v>
      </c>
      <c r="B162" s="274" t="s">
        <v>796</v>
      </c>
      <c r="C162" s="275">
        <v>-30.53</v>
      </c>
      <c r="D162" s="128" t="s">
        <v>356</v>
      </c>
    </row>
    <row r="163">
      <c r="A163" s="273">
        <v>43335.0</v>
      </c>
      <c r="B163" s="274" t="s">
        <v>792</v>
      </c>
      <c r="C163" s="275">
        <v>-7.52</v>
      </c>
      <c r="D163" s="128" t="s">
        <v>356</v>
      </c>
    </row>
    <row r="164">
      <c r="A164" s="273">
        <v>43335.0</v>
      </c>
      <c r="B164" s="274" t="s">
        <v>792</v>
      </c>
      <c r="C164" s="275">
        <v>-8.55</v>
      </c>
      <c r="D164" s="128" t="s">
        <v>356</v>
      </c>
    </row>
    <row r="165">
      <c r="A165" s="273">
        <v>43335.0</v>
      </c>
      <c r="B165" s="274" t="s">
        <v>791</v>
      </c>
      <c r="C165" s="275">
        <v>8.93</v>
      </c>
      <c r="D165" s="128"/>
    </row>
    <row r="166">
      <c r="A166" s="273">
        <v>43334.0</v>
      </c>
      <c r="B166" s="274" t="s">
        <v>789</v>
      </c>
      <c r="C166" s="275">
        <v>12.61</v>
      </c>
      <c r="D166" s="128"/>
    </row>
    <row r="167">
      <c r="A167" s="273">
        <v>43334.0</v>
      </c>
      <c r="B167" s="274" t="s">
        <v>789</v>
      </c>
      <c r="C167" s="275">
        <v>9.17</v>
      </c>
      <c r="D167" s="128"/>
    </row>
    <row r="168">
      <c r="A168" s="273">
        <v>43334.0</v>
      </c>
      <c r="B168" s="274" t="s">
        <v>791</v>
      </c>
      <c r="C168" s="275">
        <v>-1.02</v>
      </c>
      <c r="D168" s="128" t="s">
        <v>356</v>
      </c>
    </row>
    <row r="169">
      <c r="A169" s="273">
        <v>43334.0</v>
      </c>
      <c r="B169" s="274" t="s">
        <v>789</v>
      </c>
      <c r="C169" s="275">
        <v>-9.03</v>
      </c>
      <c r="D169" s="128" t="s">
        <v>356</v>
      </c>
    </row>
    <row r="170">
      <c r="A170" s="273">
        <v>43334.0</v>
      </c>
      <c r="B170" s="274" t="s">
        <v>792</v>
      </c>
      <c r="C170" s="275">
        <v>-5.32</v>
      </c>
      <c r="D170" s="128" t="s">
        <v>356</v>
      </c>
    </row>
    <row r="171">
      <c r="A171" s="273">
        <v>43334.0</v>
      </c>
      <c r="B171" s="274" t="s">
        <v>795</v>
      </c>
      <c r="C171" s="275">
        <v>-60.28</v>
      </c>
      <c r="D171" s="128" t="s">
        <v>356</v>
      </c>
    </row>
    <row r="172">
      <c r="A172" s="273">
        <v>43333.0</v>
      </c>
      <c r="B172" s="274" t="s">
        <v>799</v>
      </c>
      <c r="C172" s="275">
        <v>-1.38</v>
      </c>
      <c r="D172" s="128" t="s">
        <v>356</v>
      </c>
    </row>
    <row r="173">
      <c r="A173" s="273">
        <v>43333.0</v>
      </c>
      <c r="B173" s="274">
        <v>530090.0</v>
      </c>
      <c r="C173" s="275">
        <v>-81.33</v>
      </c>
      <c r="D173" s="128" t="s">
        <v>356</v>
      </c>
    </row>
    <row r="174">
      <c r="A174" s="273">
        <v>43333.0</v>
      </c>
      <c r="B174" s="274" t="s">
        <v>789</v>
      </c>
      <c r="C174" s="275">
        <v>-1.03</v>
      </c>
      <c r="D174" s="128" t="s">
        <v>356</v>
      </c>
    </row>
    <row r="175">
      <c r="A175" s="273">
        <v>43333.0</v>
      </c>
      <c r="B175" s="274" t="s">
        <v>789</v>
      </c>
      <c r="C175" s="275">
        <v>-4.43</v>
      </c>
      <c r="D175" s="128" t="s">
        <v>356</v>
      </c>
    </row>
    <row r="176">
      <c r="A176" s="273">
        <v>43333.0</v>
      </c>
      <c r="B176" s="274" t="s">
        <v>789</v>
      </c>
      <c r="C176" s="275">
        <v>-4.63</v>
      </c>
      <c r="D176" s="128" t="s">
        <v>356</v>
      </c>
    </row>
    <row r="177">
      <c r="A177" s="273">
        <v>43333.0</v>
      </c>
      <c r="B177" s="274" t="s">
        <v>789</v>
      </c>
      <c r="C177" s="275">
        <v>1.17</v>
      </c>
      <c r="D177" s="128"/>
    </row>
    <row r="178">
      <c r="A178" s="273">
        <v>43333.0</v>
      </c>
      <c r="B178" s="274" t="s">
        <v>789</v>
      </c>
      <c r="C178" s="275">
        <v>2.72</v>
      </c>
      <c r="D178" s="128"/>
    </row>
    <row r="179">
      <c r="A179" s="273">
        <v>43333.0</v>
      </c>
      <c r="B179" s="274" t="s">
        <v>789</v>
      </c>
      <c r="C179" s="275">
        <v>3.5</v>
      </c>
      <c r="D179" s="128"/>
    </row>
    <row r="180">
      <c r="A180" s="273">
        <v>43332.0</v>
      </c>
      <c r="B180" s="274" t="s">
        <v>798</v>
      </c>
      <c r="C180" s="275">
        <v>-25.15</v>
      </c>
      <c r="D180" s="128" t="s">
        <v>356</v>
      </c>
    </row>
    <row r="181">
      <c r="A181" s="273">
        <v>43331.0</v>
      </c>
      <c r="B181" s="274" t="s">
        <v>791</v>
      </c>
      <c r="C181" s="275">
        <v>8.99</v>
      </c>
      <c r="D181" s="128"/>
    </row>
    <row r="182">
      <c r="A182" s="273">
        <v>43331.0</v>
      </c>
      <c r="B182" s="274" t="s">
        <v>791</v>
      </c>
      <c r="C182" s="275">
        <v>-1.02</v>
      </c>
      <c r="D182" s="128" t="s">
        <v>356</v>
      </c>
    </row>
    <row r="183">
      <c r="A183" s="273">
        <v>43331.0</v>
      </c>
      <c r="B183" s="274" t="s">
        <v>802</v>
      </c>
      <c r="C183" s="275">
        <v>-81.01</v>
      </c>
      <c r="D183" s="128" t="s">
        <v>356</v>
      </c>
    </row>
    <row r="184">
      <c r="A184" s="273">
        <v>43331.0</v>
      </c>
      <c r="B184" s="274" t="s">
        <v>789</v>
      </c>
      <c r="C184" s="275">
        <v>-9.03</v>
      </c>
      <c r="D184" s="128" t="s">
        <v>356</v>
      </c>
    </row>
    <row r="185">
      <c r="A185" s="273">
        <v>43331.0</v>
      </c>
      <c r="B185" s="274" t="s">
        <v>792</v>
      </c>
      <c r="C185" s="275">
        <v>-7.53</v>
      </c>
      <c r="D185" s="128" t="s">
        <v>356</v>
      </c>
    </row>
    <row r="186">
      <c r="A186" s="273">
        <v>43331.0</v>
      </c>
      <c r="B186" s="274" t="s">
        <v>792</v>
      </c>
      <c r="C186" s="275">
        <v>-8.56</v>
      </c>
      <c r="D186" s="128" t="s">
        <v>356</v>
      </c>
    </row>
    <row r="187">
      <c r="A187" s="273">
        <v>43329.0</v>
      </c>
      <c r="B187" s="274" t="s">
        <v>791</v>
      </c>
      <c r="C187" s="275">
        <v>-9.02</v>
      </c>
      <c r="D187" s="128" t="s">
        <v>356</v>
      </c>
    </row>
    <row r="188">
      <c r="A188" s="273">
        <v>43329.0</v>
      </c>
      <c r="B188" s="274" t="s">
        <v>789</v>
      </c>
      <c r="C188" s="275">
        <v>-3.45</v>
      </c>
      <c r="D188" s="128" t="s">
        <v>356</v>
      </c>
    </row>
    <row r="189">
      <c r="A189" s="273">
        <v>43329.0</v>
      </c>
      <c r="B189" s="274" t="s">
        <v>803</v>
      </c>
      <c r="C189" s="275">
        <v>-18.81</v>
      </c>
      <c r="D189" s="128" t="s">
        <v>356</v>
      </c>
    </row>
    <row r="190">
      <c r="A190" s="273">
        <v>43327.0</v>
      </c>
      <c r="B190" s="274" t="s">
        <v>791</v>
      </c>
      <c r="C190" s="275">
        <v>-5.29</v>
      </c>
      <c r="D190" s="128" t="s">
        <v>356</v>
      </c>
    </row>
    <row r="191">
      <c r="A191" s="273">
        <v>43327.0</v>
      </c>
      <c r="B191" s="274" t="s">
        <v>804</v>
      </c>
      <c r="C191" s="275">
        <v>-3.04</v>
      </c>
      <c r="D191" s="128" t="s">
        <v>356</v>
      </c>
    </row>
    <row r="192">
      <c r="A192" s="273">
        <v>43327.0</v>
      </c>
      <c r="B192" s="274" t="s">
        <v>789</v>
      </c>
      <c r="C192" s="275">
        <v>-1.21</v>
      </c>
      <c r="D192" s="128" t="s">
        <v>356</v>
      </c>
    </row>
    <row r="193">
      <c r="A193" s="273">
        <v>43327.0</v>
      </c>
      <c r="B193" s="274" t="s">
        <v>789</v>
      </c>
      <c r="C193" s="275">
        <v>-12.81</v>
      </c>
      <c r="D193" s="128" t="s">
        <v>356</v>
      </c>
    </row>
    <row r="194">
      <c r="A194" s="273">
        <v>43327.0</v>
      </c>
      <c r="B194" s="274" t="s">
        <v>789</v>
      </c>
      <c r="C194" s="275">
        <v>-2.8</v>
      </c>
      <c r="D194" s="128" t="s">
        <v>356</v>
      </c>
    </row>
    <row r="195">
      <c r="A195" s="273">
        <v>43327.0</v>
      </c>
      <c r="B195" s="274" t="s">
        <v>789</v>
      </c>
      <c r="C195" s="275">
        <v>-3.59</v>
      </c>
      <c r="D195" s="128" t="s">
        <v>356</v>
      </c>
    </row>
    <row r="196">
      <c r="A196" s="273">
        <v>43327.0</v>
      </c>
      <c r="B196" s="274" t="s">
        <v>789</v>
      </c>
      <c r="C196" s="275">
        <v>-3.94</v>
      </c>
      <c r="D196" s="128" t="s">
        <v>356</v>
      </c>
    </row>
    <row r="197">
      <c r="A197" s="273">
        <v>43327.0</v>
      </c>
      <c r="B197" s="274" t="s">
        <v>789</v>
      </c>
      <c r="C197" s="275">
        <v>-6.04</v>
      </c>
      <c r="D197" s="128" t="s">
        <v>356</v>
      </c>
    </row>
    <row r="198">
      <c r="A198" s="273">
        <v>43327.0</v>
      </c>
      <c r="B198" s="274" t="s">
        <v>789</v>
      </c>
      <c r="C198" s="275">
        <v>-9.31</v>
      </c>
      <c r="D198" s="128" t="s">
        <v>356</v>
      </c>
    </row>
    <row r="199">
      <c r="A199" s="273">
        <v>43327.0</v>
      </c>
      <c r="B199" s="274" t="s">
        <v>806</v>
      </c>
      <c r="C199" s="275">
        <v>500.0</v>
      </c>
      <c r="D199" s="128"/>
    </row>
    <row r="200">
      <c r="A200" s="273">
        <v>43325.0</v>
      </c>
      <c r="B200" s="274" t="s">
        <v>791</v>
      </c>
      <c r="C200" s="275">
        <v>-8.93</v>
      </c>
      <c r="D200" s="128" t="s">
        <v>356</v>
      </c>
    </row>
    <row r="201">
      <c r="A201" s="273">
        <v>43322.0</v>
      </c>
      <c r="B201" s="274" t="s">
        <v>791</v>
      </c>
      <c r="C201" s="275">
        <v>-1.93</v>
      </c>
      <c r="D201" s="128" t="s">
        <v>356</v>
      </c>
    </row>
    <row r="202">
      <c r="A202" s="273">
        <v>43320.0</v>
      </c>
      <c r="B202" s="274" t="s">
        <v>791</v>
      </c>
      <c r="C202" s="275">
        <v>-8.99</v>
      </c>
      <c r="D202" s="128" t="s">
        <v>356</v>
      </c>
    </row>
    <row r="203">
      <c r="A203" s="273">
        <v>43320.0</v>
      </c>
      <c r="B203" s="274" t="s">
        <v>804</v>
      </c>
      <c r="C203" s="275">
        <v>-2.95</v>
      </c>
      <c r="D203" s="128" t="s">
        <v>356</v>
      </c>
    </row>
    <row r="204">
      <c r="A204" s="273">
        <v>43320.0</v>
      </c>
      <c r="B204" s="274" t="s">
        <v>792</v>
      </c>
      <c r="C204" s="275">
        <v>-5.04</v>
      </c>
      <c r="D204" s="128" t="s">
        <v>356</v>
      </c>
    </row>
    <row r="205">
      <c r="A205" s="273">
        <v>43319.0</v>
      </c>
      <c r="B205" s="274" t="s">
        <v>731</v>
      </c>
      <c r="C205" s="275">
        <v>100.0</v>
      </c>
      <c r="D205" s="128"/>
    </row>
    <row r="206">
      <c r="A206" s="122">
        <v>43291.0</v>
      </c>
      <c r="B206" s="276" t="s">
        <v>729</v>
      </c>
      <c r="C206" s="128">
        <v>-340.6</v>
      </c>
      <c r="D206" s="128"/>
    </row>
    <row r="207">
      <c r="A207" s="273">
        <v>43290.0</v>
      </c>
      <c r="B207" s="274" t="s">
        <v>720</v>
      </c>
      <c r="C207" s="275">
        <v>-108000.0</v>
      </c>
      <c r="D207" s="128"/>
    </row>
    <row r="208">
      <c r="A208" s="273">
        <v>43286.0</v>
      </c>
      <c r="B208" s="274" t="s">
        <v>733</v>
      </c>
      <c r="C208" s="275">
        <v>207.0</v>
      </c>
      <c r="D208" s="128"/>
    </row>
    <row r="209">
      <c r="A209" s="273">
        <v>43286.0</v>
      </c>
      <c r="B209" s="274" t="s">
        <v>782</v>
      </c>
      <c r="C209" s="275">
        <v>-890.0</v>
      </c>
      <c r="D209" s="128"/>
    </row>
    <row r="210">
      <c r="A210" s="273">
        <v>43284.0</v>
      </c>
      <c r="B210" s="274" t="s">
        <v>735</v>
      </c>
      <c r="C210" s="275">
        <v>494.4</v>
      </c>
      <c r="D210" s="128"/>
    </row>
    <row r="211">
      <c r="A211" s="122">
        <v>43276.0</v>
      </c>
      <c r="B211" s="276" t="s">
        <v>758</v>
      </c>
      <c r="C211" s="128">
        <v>-0.8</v>
      </c>
      <c r="D211" s="128" t="s">
        <v>356</v>
      </c>
    </row>
    <row r="212">
      <c r="A212" s="273">
        <v>43264.0</v>
      </c>
      <c r="B212" s="274" t="s">
        <v>807</v>
      </c>
      <c r="C212" s="275">
        <v>-866.73</v>
      </c>
      <c r="D212" s="128" t="s">
        <v>356</v>
      </c>
    </row>
    <row r="213">
      <c r="A213" s="273">
        <v>43262.0</v>
      </c>
      <c r="B213" s="274" t="s">
        <v>729</v>
      </c>
      <c r="C213" s="275">
        <v>-340.6</v>
      </c>
      <c r="D213" s="128"/>
    </row>
    <row r="214">
      <c r="A214" s="273">
        <v>43262.0</v>
      </c>
      <c r="B214" s="274" t="s">
        <v>808</v>
      </c>
      <c r="C214" s="275">
        <v>-27.0</v>
      </c>
      <c r="D214" s="128" t="s">
        <v>356</v>
      </c>
    </row>
    <row r="215">
      <c r="A215" s="273">
        <v>43251.0</v>
      </c>
      <c r="B215" s="274" t="s">
        <v>809</v>
      </c>
      <c r="C215" s="275">
        <v>230.0</v>
      </c>
      <c r="D215" s="128"/>
    </row>
    <row r="216">
      <c r="A216" s="273">
        <v>43249.0</v>
      </c>
      <c r="B216" s="274" t="s">
        <v>810</v>
      </c>
      <c r="C216" s="275">
        <v>-20.0</v>
      </c>
      <c r="D216" s="128" t="s">
        <v>356</v>
      </c>
    </row>
    <row r="217">
      <c r="A217" s="273">
        <v>43249.0</v>
      </c>
      <c r="B217" s="274" t="s">
        <v>811</v>
      </c>
      <c r="C217" s="275">
        <v>-42.5</v>
      </c>
      <c r="D217" s="128" t="s">
        <v>356</v>
      </c>
    </row>
    <row r="218">
      <c r="A218" s="273">
        <v>43248.0</v>
      </c>
      <c r="B218" s="274" t="s">
        <v>812</v>
      </c>
      <c r="C218" s="275">
        <v>-5.2</v>
      </c>
      <c r="D218" s="128" t="s">
        <v>356</v>
      </c>
    </row>
    <row r="219">
      <c r="A219" s="273">
        <v>43248.0</v>
      </c>
      <c r="B219" s="274" t="s">
        <v>812</v>
      </c>
      <c r="C219" s="275">
        <v>-0.8</v>
      </c>
      <c r="D219" s="128" t="s">
        <v>356</v>
      </c>
    </row>
    <row r="220">
      <c r="A220" s="273">
        <v>43246.0</v>
      </c>
      <c r="B220" s="274" t="s">
        <v>813</v>
      </c>
      <c r="C220" s="275">
        <v>-22.9</v>
      </c>
      <c r="D220" s="128" t="s">
        <v>356</v>
      </c>
    </row>
    <row r="221">
      <c r="A221" s="273">
        <v>43244.0</v>
      </c>
      <c r="B221" s="274" t="s">
        <v>814</v>
      </c>
      <c r="C221" s="275">
        <v>-20.84</v>
      </c>
      <c r="D221" s="128" t="s">
        <v>356</v>
      </c>
    </row>
    <row r="222">
      <c r="A222" s="273">
        <v>43243.0</v>
      </c>
      <c r="B222" s="274" t="s">
        <v>815</v>
      </c>
      <c r="C222" s="275">
        <v>17.96</v>
      </c>
      <c r="D222" s="128"/>
    </row>
    <row r="223">
      <c r="A223" s="273">
        <v>43243.0</v>
      </c>
      <c r="B223" s="274" t="s">
        <v>740</v>
      </c>
      <c r="C223" s="275">
        <v>35.89</v>
      </c>
      <c r="D223" s="128"/>
    </row>
    <row r="224">
      <c r="A224" s="273">
        <v>43242.0</v>
      </c>
      <c r="B224" s="274" t="s">
        <v>816</v>
      </c>
      <c r="C224" s="275">
        <v>-35.89</v>
      </c>
      <c r="D224" s="128"/>
    </row>
    <row r="225">
      <c r="A225" s="273">
        <v>43229.0</v>
      </c>
      <c r="B225" s="274" t="s">
        <v>731</v>
      </c>
      <c r="C225" s="275">
        <v>100.0</v>
      </c>
      <c r="D225" s="128"/>
    </row>
    <row r="226">
      <c r="A226" s="273">
        <v>43229.0</v>
      </c>
      <c r="B226" s="274" t="s">
        <v>812</v>
      </c>
      <c r="C226" s="275">
        <v>-2.0</v>
      </c>
      <c r="D226" s="128" t="s">
        <v>356</v>
      </c>
    </row>
    <row r="227">
      <c r="A227" s="122">
        <v>43227.0</v>
      </c>
      <c r="B227" s="276" t="s">
        <v>782</v>
      </c>
      <c r="C227" s="128">
        <v>-890.0</v>
      </c>
      <c r="D227" s="128"/>
    </row>
    <row r="228">
      <c r="A228" s="273">
        <v>43227.0</v>
      </c>
      <c r="B228" s="274" t="s">
        <v>817</v>
      </c>
      <c r="C228" s="275">
        <v>700.0</v>
      </c>
      <c r="D228" s="128"/>
    </row>
    <row r="229">
      <c r="A229" s="273">
        <v>43225.0</v>
      </c>
      <c r="B229" s="274" t="s">
        <v>818</v>
      </c>
      <c r="C229" s="275">
        <v>-5.44</v>
      </c>
      <c r="D229" s="128" t="s">
        <v>356</v>
      </c>
    </row>
    <row r="230">
      <c r="A230" s="122">
        <v>43224.0</v>
      </c>
      <c r="B230" s="276" t="s">
        <v>733</v>
      </c>
      <c r="C230" s="128">
        <v>207.0</v>
      </c>
      <c r="D230" s="128"/>
    </row>
    <row r="231">
      <c r="A231" s="273">
        <v>43207.0</v>
      </c>
      <c r="B231" s="274" t="s">
        <v>758</v>
      </c>
      <c r="C231" s="275">
        <v>-0.8</v>
      </c>
      <c r="D231" s="128" t="s">
        <v>356</v>
      </c>
    </row>
    <row r="232">
      <c r="A232" s="273">
        <v>43202.0</v>
      </c>
      <c r="B232" s="274" t="s">
        <v>812</v>
      </c>
      <c r="C232" s="275">
        <v>-2.6</v>
      </c>
      <c r="D232" s="128" t="s">
        <v>356</v>
      </c>
    </row>
    <row r="233">
      <c r="A233" s="273">
        <v>43202.0</v>
      </c>
      <c r="B233" s="274" t="s">
        <v>812</v>
      </c>
      <c r="C233" s="275">
        <v>-1.3</v>
      </c>
      <c r="D233" s="128" t="s">
        <v>356</v>
      </c>
    </row>
    <row r="234">
      <c r="A234" s="273">
        <v>43200.0</v>
      </c>
      <c r="B234" s="274" t="s">
        <v>729</v>
      </c>
      <c r="C234" s="275">
        <v>-340.6</v>
      </c>
      <c r="D234" s="128"/>
    </row>
    <row r="235">
      <c r="A235" s="273">
        <v>43199.0</v>
      </c>
      <c r="B235" s="274" t="s">
        <v>825</v>
      </c>
      <c r="C235" s="275">
        <v>-0.5</v>
      </c>
      <c r="D235" s="128" t="s">
        <v>356</v>
      </c>
    </row>
    <row r="236">
      <c r="A236" s="273">
        <v>43195.0</v>
      </c>
      <c r="B236" s="274" t="s">
        <v>782</v>
      </c>
      <c r="C236" s="275">
        <v>-890.0</v>
      </c>
      <c r="D236" s="128"/>
    </row>
    <row r="237">
      <c r="A237" s="273">
        <v>43195.0</v>
      </c>
      <c r="B237" s="274" t="s">
        <v>733</v>
      </c>
      <c r="C237" s="275">
        <v>207.0</v>
      </c>
      <c r="D237" s="128"/>
    </row>
    <row r="238">
      <c r="A238" s="273">
        <v>43195.0</v>
      </c>
      <c r="B238" s="274" t="s">
        <v>817</v>
      </c>
      <c r="C238" s="275">
        <v>700.0</v>
      </c>
      <c r="D238" s="128"/>
    </row>
    <row r="239">
      <c r="A239" s="277">
        <v>43193.0</v>
      </c>
      <c r="B239" s="278" t="s">
        <v>735</v>
      </c>
      <c r="C239" s="275">
        <v>494.4</v>
      </c>
      <c r="D239" s="279"/>
    </row>
    <row r="240">
      <c r="A240" s="273">
        <v>43193.0</v>
      </c>
      <c r="B240" s="274" t="s">
        <v>735</v>
      </c>
      <c r="C240" s="275">
        <v>505.92</v>
      </c>
      <c r="D240" s="128"/>
    </row>
    <row r="241">
      <c r="A241" s="273">
        <v>43186.0</v>
      </c>
      <c r="B241" s="274" t="s">
        <v>758</v>
      </c>
      <c r="C241" s="275">
        <v>-1.6</v>
      </c>
      <c r="D241" s="128" t="s">
        <v>356</v>
      </c>
    </row>
    <row r="242">
      <c r="A242" s="122">
        <v>43186.0</v>
      </c>
      <c r="B242" s="276" t="s">
        <v>812</v>
      </c>
      <c r="C242" s="128">
        <v>-0.8</v>
      </c>
      <c r="D242" s="128" t="s">
        <v>356</v>
      </c>
    </row>
    <row r="243">
      <c r="A243" s="273">
        <v>43179.0</v>
      </c>
      <c r="B243" s="274" t="s">
        <v>827</v>
      </c>
      <c r="C243" s="275">
        <v>-3.0</v>
      </c>
      <c r="D243" s="128" t="s">
        <v>356</v>
      </c>
    </row>
    <row r="244">
      <c r="A244" s="273">
        <v>43178.0</v>
      </c>
      <c r="B244" s="274" t="s">
        <v>814</v>
      </c>
      <c r="C244" s="275">
        <v>-21.34</v>
      </c>
      <c r="D244" s="128" t="s">
        <v>356</v>
      </c>
    </row>
    <row r="245">
      <c r="A245" s="273">
        <v>43173.0</v>
      </c>
      <c r="B245" s="274" t="s">
        <v>812</v>
      </c>
      <c r="C245" s="275">
        <v>-0.8</v>
      </c>
      <c r="D245" s="128" t="s">
        <v>356</v>
      </c>
    </row>
    <row r="246">
      <c r="A246" s="273">
        <v>43171.0</v>
      </c>
      <c r="B246" s="274" t="s">
        <v>828</v>
      </c>
      <c r="C246" s="275">
        <v>100.0</v>
      </c>
      <c r="D246" s="128"/>
    </row>
    <row r="247">
      <c r="A247" s="273">
        <v>43171.0</v>
      </c>
      <c r="B247" s="274" t="s">
        <v>729</v>
      </c>
      <c r="C247" s="275">
        <v>-340.6</v>
      </c>
      <c r="D247" s="128"/>
    </row>
    <row r="248">
      <c r="A248" s="273">
        <v>43164.0</v>
      </c>
      <c r="B248" s="274" t="s">
        <v>829</v>
      </c>
      <c r="C248" s="275">
        <v>-90.0</v>
      </c>
      <c r="D248" s="128" t="s">
        <v>356</v>
      </c>
    </row>
    <row r="249">
      <c r="A249" s="273">
        <v>43164.0</v>
      </c>
      <c r="B249" s="274" t="s">
        <v>733</v>
      </c>
      <c r="C249" s="275">
        <v>207.0</v>
      </c>
      <c r="D249" s="128"/>
    </row>
    <row r="250">
      <c r="A250" s="122">
        <v>43164.0</v>
      </c>
      <c r="B250" s="276" t="s">
        <v>830</v>
      </c>
      <c r="C250" s="128">
        <v>-285.0</v>
      </c>
      <c r="D250" s="128"/>
    </row>
    <row r="251">
      <c r="A251" s="122">
        <v>43164.0</v>
      </c>
      <c r="B251" s="276" t="s">
        <v>782</v>
      </c>
      <c r="C251" s="128">
        <v>-890.0</v>
      </c>
      <c r="D251" s="128"/>
    </row>
    <row r="252">
      <c r="A252" s="122">
        <v>43164.0</v>
      </c>
      <c r="B252" s="276" t="s">
        <v>817</v>
      </c>
      <c r="C252" s="128">
        <v>700.0</v>
      </c>
      <c r="D252" s="128"/>
    </row>
    <row r="253">
      <c r="A253" s="122">
        <v>43160.0</v>
      </c>
      <c r="B253" s="276" t="s">
        <v>812</v>
      </c>
      <c r="C253" s="128">
        <v>-2.0</v>
      </c>
      <c r="D253" s="128" t="s">
        <v>356</v>
      </c>
    </row>
    <row r="254">
      <c r="A254" s="122">
        <v>43160.0</v>
      </c>
      <c r="B254" s="276" t="s">
        <v>735</v>
      </c>
      <c r="C254" s="128">
        <v>456.96</v>
      </c>
      <c r="D254" s="128"/>
    </row>
    <row r="255">
      <c r="A255" s="273">
        <v>43158.0</v>
      </c>
      <c r="B255" s="274" t="s">
        <v>758</v>
      </c>
      <c r="C255" s="275">
        <v>-3.6</v>
      </c>
      <c r="D255" s="128" t="s">
        <v>356</v>
      </c>
    </row>
    <row r="256">
      <c r="A256" s="273">
        <v>43151.0</v>
      </c>
      <c r="B256" s="274" t="s">
        <v>831</v>
      </c>
      <c r="C256" s="275">
        <v>-1.0</v>
      </c>
      <c r="D256" s="128" t="s">
        <v>356</v>
      </c>
    </row>
    <row r="257">
      <c r="A257" s="273">
        <v>43145.0</v>
      </c>
      <c r="B257" s="274" t="s">
        <v>812</v>
      </c>
      <c r="C257" s="275">
        <v>-0.8</v>
      </c>
      <c r="D257" s="128" t="s">
        <v>356</v>
      </c>
    </row>
    <row r="258">
      <c r="A258" s="273">
        <v>43143.0</v>
      </c>
      <c r="B258" s="274" t="s">
        <v>729</v>
      </c>
      <c r="C258" s="275">
        <v>-340.6</v>
      </c>
      <c r="D258" s="128"/>
    </row>
    <row r="259">
      <c r="A259" s="273">
        <v>43138.0</v>
      </c>
      <c r="B259" s="274" t="s">
        <v>832</v>
      </c>
      <c r="C259" s="275">
        <v>1.32</v>
      </c>
      <c r="D259" s="128"/>
    </row>
    <row r="260">
      <c r="A260" s="273">
        <v>43136.0</v>
      </c>
      <c r="B260" s="274" t="s">
        <v>782</v>
      </c>
      <c r="C260" s="275">
        <v>-890.0</v>
      </c>
      <c r="D260" s="128"/>
    </row>
    <row r="261">
      <c r="A261" s="273">
        <v>43136.0</v>
      </c>
      <c r="B261" s="274" t="s">
        <v>733</v>
      </c>
      <c r="C261" s="275">
        <v>207.0</v>
      </c>
      <c r="D261" s="128"/>
    </row>
    <row r="262">
      <c r="A262" s="273">
        <v>43136.0</v>
      </c>
      <c r="B262" s="274" t="s">
        <v>817</v>
      </c>
      <c r="C262" s="275">
        <v>700.0</v>
      </c>
      <c r="D262" s="128"/>
    </row>
    <row r="263">
      <c r="A263" s="273">
        <v>43134.0</v>
      </c>
      <c r="B263" s="274" t="s">
        <v>833</v>
      </c>
      <c r="C263" s="275">
        <v>1.13</v>
      </c>
      <c r="D263" s="128"/>
    </row>
    <row r="264">
      <c r="A264" s="273">
        <v>43133.0</v>
      </c>
      <c r="B264" s="274" t="s">
        <v>814</v>
      </c>
      <c r="C264" s="275" t="s">
        <v>834</v>
      </c>
      <c r="D264" s="128"/>
    </row>
    <row r="265">
      <c r="A265" s="273">
        <v>43132.0</v>
      </c>
      <c r="B265" s="274" t="s">
        <v>735</v>
      </c>
      <c r="C265" s="275">
        <v>505.92</v>
      </c>
      <c r="D265" s="128"/>
    </row>
    <row r="266">
      <c r="A266" s="273">
        <v>43132.0</v>
      </c>
      <c r="B266" s="274" t="s">
        <v>835</v>
      </c>
      <c r="C266" s="275">
        <v>-6.25</v>
      </c>
      <c r="D266" s="128" t="s">
        <v>356</v>
      </c>
    </row>
    <row r="267">
      <c r="A267" s="273">
        <v>43127.0</v>
      </c>
      <c r="B267" s="274" t="s">
        <v>836</v>
      </c>
      <c r="C267" s="275">
        <v>-3.41</v>
      </c>
      <c r="D267" s="128" t="s">
        <v>356</v>
      </c>
    </row>
    <row r="268">
      <c r="A268" s="273">
        <v>43126.0</v>
      </c>
      <c r="B268" s="274" t="s">
        <v>837</v>
      </c>
      <c r="C268" s="275">
        <v>100.0</v>
      </c>
      <c r="D268" s="128"/>
    </row>
    <row r="269">
      <c r="A269" s="273">
        <v>43124.0</v>
      </c>
      <c r="B269" s="274" t="s">
        <v>738</v>
      </c>
      <c r="C269" s="275">
        <v>20.0</v>
      </c>
      <c r="D269" s="128"/>
    </row>
    <row r="270">
      <c r="A270" s="273">
        <v>43124.0</v>
      </c>
      <c r="B270" s="274" t="s">
        <v>839</v>
      </c>
      <c r="C270" s="275">
        <v>-20.0</v>
      </c>
      <c r="D270" s="128"/>
    </row>
    <row r="271">
      <c r="A271" s="273">
        <v>43116.0</v>
      </c>
      <c r="B271" s="274" t="s">
        <v>840</v>
      </c>
      <c r="C271" s="275">
        <v>-2.9</v>
      </c>
      <c r="D271" s="128" t="s">
        <v>356</v>
      </c>
    </row>
    <row r="272">
      <c r="A272" s="273">
        <v>43116.0</v>
      </c>
      <c r="B272" s="274" t="s">
        <v>840</v>
      </c>
      <c r="C272" s="275">
        <v>-2.74</v>
      </c>
      <c r="D272" s="128" t="s">
        <v>356</v>
      </c>
    </row>
    <row r="273">
      <c r="A273" s="273">
        <v>43115.0</v>
      </c>
      <c r="B273" s="274" t="s">
        <v>841</v>
      </c>
      <c r="C273" s="275">
        <v>-74.82</v>
      </c>
      <c r="D273" s="128" t="s">
        <v>356</v>
      </c>
    </row>
    <row r="274">
      <c r="A274" s="273">
        <v>43112.0</v>
      </c>
      <c r="B274" s="274" t="s">
        <v>782</v>
      </c>
      <c r="C274" s="275" t="s">
        <v>842</v>
      </c>
      <c r="D274" s="128"/>
    </row>
    <row r="275">
      <c r="A275" s="273">
        <v>43111.0</v>
      </c>
      <c r="B275" s="274" t="s">
        <v>738</v>
      </c>
      <c r="C275" s="275">
        <v>400.0</v>
      </c>
      <c r="D275" s="128"/>
    </row>
    <row r="276">
      <c r="A276" s="273">
        <v>43111.0</v>
      </c>
      <c r="B276" s="274" t="s">
        <v>843</v>
      </c>
      <c r="C276" s="275">
        <v>-2.01</v>
      </c>
      <c r="D276" s="128" t="s">
        <v>356</v>
      </c>
    </row>
    <row r="277">
      <c r="A277" s="273">
        <v>43111.0</v>
      </c>
      <c r="B277" s="274" t="s">
        <v>844</v>
      </c>
      <c r="C277" s="275">
        <v>-2.39</v>
      </c>
      <c r="D277" s="128" t="s">
        <v>356</v>
      </c>
    </row>
    <row r="278">
      <c r="A278" s="273">
        <v>43110.0</v>
      </c>
      <c r="B278" s="274" t="s">
        <v>845</v>
      </c>
      <c r="C278" s="275">
        <v>-400.0</v>
      </c>
      <c r="D278" s="128"/>
    </row>
    <row r="279">
      <c r="A279" s="273">
        <v>43110.0</v>
      </c>
      <c r="B279" s="274" t="s">
        <v>729</v>
      </c>
      <c r="C279" s="275">
        <v>-340.6</v>
      </c>
      <c r="D279" s="128"/>
    </row>
    <row r="280">
      <c r="A280" s="273">
        <v>43109.0</v>
      </c>
      <c r="B280" s="274" t="s">
        <v>846</v>
      </c>
      <c r="C280" s="275">
        <v>-3.19</v>
      </c>
      <c r="D280" s="128" t="s">
        <v>356</v>
      </c>
    </row>
    <row r="281">
      <c r="A281" s="273">
        <v>43109.0</v>
      </c>
      <c r="B281" s="274" t="s">
        <v>846</v>
      </c>
      <c r="C281" s="275">
        <v>-2.94</v>
      </c>
      <c r="D281" s="128" t="s">
        <v>356</v>
      </c>
    </row>
    <row r="282">
      <c r="A282" s="273">
        <v>43109.0</v>
      </c>
      <c r="B282" s="274" t="s">
        <v>846</v>
      </c>
      <c r="C282" s="275">
        <v>-1.13</v>
      </c>
      <c r="D282" s="128" t="s">
        <v>356</v>
      </c>
    </row>
    <row r="283">
      <c r="A283" s="273">
        <v>43108.0</v>
      </c>
      <c r="B283" s="274" t="s">
        <v>847</v>
      </c>
      <c r="C283" s="275">
        <v>-3.95</v>
      </c>
      <c r="D283" s="128" t="s">
        <v>356</v>
      </c>
    </row>
    <row r="284">
      <c r="A284" s="273">
        <v>43107.0</v>
      </c>
      <c r="B284" s="274" t="s">
        <v>848</v>
      </c>
      <c r="C284" s="275">
        <v>-7.37</v>
      </c>
      <c r="D284" s="128" t="s">
        <v>356</v>
      </c>
    </row>
    <row r="285">
      <c r="A285" s="122">
        <v>43105.0</v>
      </c>
      <c r="B285" s="156" t="s">
        <v>733</v>
      </c>
      <c r="C285" s="138">
        <v>207.0</v>
      </c>
      <c r="D285" s="138"/>
    </row>
    <row r="286">
      <c r="A286" s="122">
        <v>43105.0</v>
      </c>
      <c r="B286" s="124" t="s">
        <v>849</v>
      </c>
      <c r="C286" s="128">
        <v>40.0</v>
      </c>
      <c r="D286" s="138"/>
    </row>
    <row r="287">
      <c r="A287" s="122">
        <v>43105.0</v>
      </c>
      <c r="B287" s="124" t="s">
        <v>782</v>
      </c>
      <c r="C287" s="128">
        <v>890.0</v>
      </c>
      <c r="D287" s="138"/>
    </row>
    <row r="288">
      <c r="A288" s="122">
        <v>43105.0</v>
      </c>
      <c r="B288" s="124" t="s">
        <v>817</v>
      </c>
      <c r="C288" s="128">
        <v>700.0</v>
      </c>
      <c r="D288" s="138"/>
    </row>
    <row r="289">
      <c r="A289" s="273">
        <v>43104.0</v>
      </c>
      <c r="B289" s="274" t="s">
        <v>836</v>
      </c>
      <c r="C289" s="275">
        <v>-3.8</v>
      </c>
      <c r="D289" s="128" t="s">
        <v>356</v>
      </c>
    </row>
    <row r="290">
      <c r="A290" s="273">
        <v>43104.0</v>
      </c>
      <c r="B290" s="280" t="s">
        <v>720</v>
      </c>
      <c r="C290" s="275">
        <v>-30000.0</v>
      </c>
      <c r="D290" s="128"/>
    </row>
    <row r="291">
      <c r="A291" s="273">
        <v>43103.0</v>
      </c>
      <c r="B291" s="280" t="s">
        <v>856</v>
      </c>
      <c r="C291" s="275">
        <v>5000.0</v>
      </c>
      <c r="D291" s="128"/>
    </row>
    <row r="292">
      <c r="A292" s="273">
        <v>43103.0</v>
      </c>
      <c r="B292" s="280" t="s">
        <v>857</v>
      </c>
      <c r="C292" s="275">
        <v>505.92</v>
      </c>
      <c r="D292" s="128"/>
    </row>
    <row r="293">
      <c r="A293" s="273">
        <v>43102.0</v>
      </c>
      <c r="B293" s="280" t="s">
        <v>858</v>
      </c>
      <c r="C293" s="275">
        <v>400.0</v>
      </c>
      <c r="D293" s="128"/>
    </row>
    <row r="294">
      <c r="A294" s="273">
        <v>43102.0</v>
      </c>
      <c r="B294" s="280" t="s">
        <v>856</v>
      </c>
      <c r="C294" s="275">
        <v>25000.0</v>
      </c>
      <c r="D294" s="128"/>
    </row>
    <row r="295">
      <c r="A295" s="273">
        <v>43096.0</v>
      </c>
      <c r="B295" s="280" t="s">
        <v>769</v>
      </c>
      <c r="C295" s="275">
        <v>-259.0</v>
      </c>
      <c r="D295" s="128"/>
    </row>
    <row r="296">
      <c r="A296" s="273">
        <v>43088.0</v>
      </c>
      <c r="B296" s="280" t="s">
        <v>860</v>
      </c>
      <c r="C296" s="275">
        <v>110.0</v>
      </c>
      <c r="D296" s="128"/>
    </row>
    <row r="297">
      <c r="A297" s="273">
        <v>43083.0</v>
      </c>
      <c r="B297" s="280" t="s">
        <v>861</v>
      </c>
      <c r="C297" s="275">
        <v>-6.05</v>
      </c>
      <c r="D297" s="128" t="s">
        <v>356</v>
      </c>
    </row>
    <row r="298">
      <c r="A298" s="273">
        <v>43083.0</v>
      </c>
      <c r="B298" s="280" t="s">
        <v>862</v>
      </c>
      <c r="C298" s="275">
        <v>-9.35</v>
      </c>
      <c r="D298" s="128" t="s">
        <v>356</v>
      </c>
    </row>
    <row r="299">
      <c r="A299" s="273">
        <v>43083.0</v>
      </c>
      <c r="B299" s="280" t="s">
        <v>857</v>
      </c>
      <c r="C299" s="275">
        <v>152.45</v>
      </c>
      <c r="D299" s="128"/>
    </row>
    <row r="300">
      <c r="A300" s="273">
        <v>43080.0</v>
      </c>
      <c r="B300" s="280" t="s">
        <v>729</v>
      </c>
      <c r="C300" s="275">
        <v>-340.6</v>
      </c>
      <c r="D300" s="128"/>
    </row>
    <row r="301">
      <c r="A301" s="122">
        <v>43080.0</v>
      </c>
      <c r="B301" s="55" t="s">
        <v>846</v>
      </c>
      <c r="C301" s="128">
        <v>-1.32</v>
      </c>
      <c r="D301" s="128" t="s">
        <v>356</v>
      </c>
    </row>
    <row r="302">
      <c r="A302" s="122">
        <v>43076.0</v>
      </c>
      <c r="B302" s="55" t="s">
        <v>863</v>
      </c>
      <c r="C302" s="128">
        <v>35.1</v>
      </c>
      <c r="D302" s="128"/>
    </row>
    <row r="303">
      <c r="A303" s="122">
        <v>43075.0</v>
      </c>
      <c r="B303" s="55" t="s">
        <v>864</v>
      </c>
      <c r="C303" s="128">
        <v>700.0</v>
      </c>
      <c r="D303" s="128"/>
    </row>
    <row r="304">
      <c r="A304" s="122">
        <v>43074.0</v>
      </c>
      <c r="B304" s="55" t="s">
        <v>733</v>
      </c>
      <c r="C304" s="128">
        <v>207.0</v>
      </c>
      <c r="D304" s="128"/>
    </row>
    <row r="305">
      <c r="A305" s="122">
        <v>43074.0</v>
      </c>
      <c r="B305" s="55" t="s">
        <v>865</v>
      </c>
      <c r="C305" s="128">
        <v>-101.0</v>
      </c>
      <c r="D305" s="128" t="s">
        <v>356</v>
      </c>
    </row>
    <row r="306">
      <c r="A306" s="122">
        <v>43074.0</v>
      </c>
      <c r="B306" s="55" t="s">
        <v>782</v>
      </c>
      <c r="C306" s="128">
        <v>-890.0</v>
      </c>
      <c r="D306" s="128"/>
    </row>
    <row r="307">
      <c r="A307" s="122">
        <v>43073.0</v>
      </c>
      <c r="B307" s="55" t="s">
        <v>784</v>
      </c>
      <c r="C307" s="128">
        <v>1.0</v>
      </c>
      <c r="D307" s="128"/>
    </row>
    <row r="308">
      <c r="A308" s="122">
        <v>43073.0</v>
      </c>
      <c r="B308" s="55" t="s">
        <v>866</v>
      </c>
      <c r="C308" s="128">
        <v>-38.0</v>
      </c>
      <c r="D308" s="128" t="s">
        <v>356</v>
      </c>
    </row>
    <row r="309">
      <c r="A309" s="122">
        <v>43073.0</v>
      </c>
      <c r="B309" s="55" t="s">
        <v>784</v>
      </c>
      <c r="C309" s="128">
        <v>-1.0</v>
      </c>
      <c r="D309" s="128"/>
    </row>
    <row r="310">
      <c r="A310" s="122">
        <v>43073.0</v>
      </c>
      <c r="B310" s="55" t="s">
        <v>857</v>
      </c>
      <c r="C310" s="128">
        <v>489.6</v>
      </c>
      <c r="D310" s="128"/>
    </row>
    <row r="311">
      <c r="A311" s="122">
        <v>43069.0</v>
      </c>
      <c r="B311" s="55" t="s">
        <v>846</v>
      </c>
      <c r="C311" s="128">
        <v>-21.99</v>
      </c>
      <c r="D311" s="128" t="s">
        <v>356</v>
      </c>
    </row>
    <row r="312">
      <c r="A312" s="122">
        <v>43068.0</v>
      </c>
      <c r="B312" s="55" t="s">
        <v>720</v>
      </c>
      <c r="C312" s="128">
        <v>-10000.0</v>
      </c>
      <c r="D312" s="128"/>
    </row>
    <row r="313">
      <c r="A313" s="122">
        <v>43068.0</v>
      </c>
      <c r="B313" s="55" t="s">
        <v>867</v>
      </c>
      <c r="C313" s="128">
        <v>10000.0</v>
      </c>
      <c r="D313" s="128"/>
    </row>
    <row r="314">
      <c r="A314" s="122">
        <v>43067.0</v>
      </c>
      <c r="B314" s="55" t="s">
        <v>868</v>
      </c>
      <c r="C314" s="128">
        <v>-989.01</v>
      </c>
      <c r="D314" s="128"/>
    </row>
    <row r="315">
      <c r="A315" s="122">
        <v>43063.0</v>
      </c>
      <c r="B315" s="55" t="s">
        <v>846</v>
      </c>
      <c r="C315" s="128">
        <v>-83.27</v>
      </c>
      <c r="D315" s="128" t="s">
        <v>356</v>
      </c>
    </row>
    <row r="316">
      <c r="A316" s="122">
        <v>43061.0</v>
      </c>
      <c r="B316" s="55" t="s">
        <v>869</v>
      </c>
      <c r="C316" s="128">
        <v>-5.3</v>
      </c>
      <c r="D316" s="128" t="s">
        <v>356</v>
      </c>
    </row>
    <row r="317">
      <c r="A317" s="122">
        <v>43056.0</v>
      </c>
      <c r="B317" s="55" t="s">
        <v>814</v>
      </c>
      <c r="C317" s="128">
        <v>-19.79</v>
      </c>
      <c r="D317" s="128" t="s">
        <v>356</v>
      </c>
    </row>
    <row r="318">
      <c r="A318" s="122">
        <v>43055.0</v>
      </c>
      <c r="B318" s="55" t="s">
        <v>720</v>
      </c>
      <c r="C318" s="128">
        <v>-1000.0</v>
      </c>
      <c r="D318" s="128"/>
    </row>
    <row r="319">
      <c r="A319" s="122">
        <v>43053.0</v>
      </c>
      <c r="B319" s="55" t="s">
        <v>858</v>
      </c>
      <c r="C319" s="128">
        <v>1350.0</v>
      </c>
      <c r="D319" s="128"/>
    </row>
    <row r="320">
      <c r="A320" s="122">
        <v>43053.0</v>
      </c>
      <c r="B320" s="55" t="s">
        <v>740</v>
      </c>
      <c r="C320" s="128">
        <v>-1000.0</v>
      </c>
      <c r="D320" s="128"/>
    </row>
    <row r="321">
      <c r="A321" s="122">
        <v>43053.0</v>
      </c>
      <c r="B321" s="55" t="s">
        <v>738</v>
      </c>
      <c r="C321" s="128">
        <v>1000.0</v>
      </c>
      <c r="D321" s="128"/>
    </row>
    <row r="322">
      <c r="A322" s="122">
        <v>43052.0</v>
      </c>
      <c r="B322" s="55" t="s">
        <v>870</v>
      </c>
      <c r="C322" s="128">
        <v>192.8</v>
      </c>
      <c r="D322" s="128"/>
    </row>
    <row r="323">
      <c r="A323" s="122">
        <v>43049.0</v>
      </c>
      <c r="B323" s="55" t="s">
        <v>729</v>
      </c>
      <c r="C323" s="128">
        <v>-340.6</v>
      </c>
      <c r="D323" s="128"/>
    </row>
    <row r="324">
      <c r="A324" s="122">
        <v>43048.0</v>
      </c>
      <c r="B324" s="55" t="s">
        <v>871</v>
      </c>
      <c r="C324" s="128">
        <v>700.0</v>
      </c>
      <c r="D324" s="128"/>
    </row>
    <row r="325">
      <c r="A325" s="122">
        <v>43045.0</v>
      </c>
      <c r="B325" s="55" t="s">
        <v>782</v>
      </c>
      <c r="C325" s="128">
        <v>-890.0</v>
      </c>
      <c r="D325" s="128"/>
    </row>
    <row r="326">
      <c r="A326" s="122">
        <v>43041.0</v>
      </c>
      <c r="B326" s="55" t="s">
        <v>857</v>
      </c>
      <c r="C326" s="128">
        <v>505.92</v>
      </c>
      <c r="D326" s="128"/>
    </row>
  </sheetData>
  <autoFilter ref="$A$1:$D$326"/>
  <hyperlinks>
    <hyperlink r:id="rId1" ref="B41"/>
    <hyperlink r:id="rId2" ref="B267"/>
    <hyperlink r:id="rId3" ref="B289"/>
  </hyperlinks>
  <drawing r:id="rId4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FF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2.75"/>
  <sheetData>
    <row r="1">
      <c r="A1" s="56" t="s">
        <v>879</v>
      </c>
      <c r="B1" s="56" t="s">
        <v>880</v>
      </c>
    </row>
    <row r="2">
      <c r="A2" s="18" t="s">
        <v>881</v>
      </c>
      <c r="B2" s="281">
        <v>2.99</v>
      </c>
    </row>
    <row r="3">
      <c r="A3" s="18" t="s">
        <v>882</v>
      </c>
      <c r="B3" s="281">
        <v>47.38</v>
      </c>
    </row>
  </sheetData>
  <drawing r:id="rId2"/>
  <legacyDrawing r:id="rId3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FF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2.75"/>
  <cols>
    <col customWidth="1" min="1" max="1" width="13.14"/>
    <col customWidth="1" min="2" max="2" width="9.0"/>
    <col customWidth="1" min="3" max="3" width="12.14"/>
    <col customWidth="1" min="4" max="5" width="10.43"/>
    <col customWidth="1" min="6" max="6" width="11.57"/>
    <col customWidth="1" min="7" max="7" width="8.43"/>
    <col customWidth="1" min="8" max="8" width="6.43"/>
    <col customWidth="1" min="9" max="9" width="14.0"/>
    <col customWidth="1" min="10" max="10" width="11.57"/>
  </cols>
  <sheetData>
    <row r="1">
      <c r="A1" s="56" t="s">
        <v>61</v>
      </c>
      <c r="B1" s="56" t="s">
        <v>883</v>
      </c>
      <c r="C1" s="56" t="s">
        <v>884</v>
      </c>
      <c r="D1" s="56" t="s">
        <v>885</v>
      </c>
      <c r="E1" s="56" t="s">
        <v>886</v>
      </c>
      <c r="F1" s="56" t="s">
        <v>887</v>
      </c>
      <c r="G1" s="56" t="s">
        <v>659</v>
      </c>
      <c r="H1" s="56" t="s">
        <v>284</v>
      </c>
      <c r="I1" s="56" t="s">
        <v>888</v>
      </c>
      <c r="J1" s="56" t="s">
        <v>889</v>
      </c>
    </row>
    <row r="2">
      <c r="A2" s="282" t="s">
        <v>890</v>
      </c>
      <c r="B2" s="283">
        <v>-340.6</v>
      </c>
      <c r="C2" s="125">
        <v>24.0</v>
      </c>
      <c r="D2" s="122">
        <v>42988.0</v>
      </c>
      <c r="E2" s="122">
        <f t="shared" ref="E2:E7" si="1">IF(AND($C2&lt;&gt;"",$D2&lt;&gt;""),DATE(YEAR($D2+DATE(0,$C2,0)),MONTH($D2+DATE(0,$C2,0)),DAY($D2)),"")</f>
        <v>43687</v>
      </c>
      <c r="F2" s="32">
        <f t="shared" ref="F2:F7" si="2">IF($C2,ABS($C2*$B2),"")</f>
        <v>8174.4</v>
      </c>
      <c r="G2" s="32">
        <f t="shared" ref="G2:G7" si="3">IF(AND($F2&lt;&gt;"",$B2&lt;0),MOD(ABS($F2),1000),"")</f>
        <v>174.4</v>
      </c>
      <c r="H2" s="173">
        <f t="shared" ref="H2:H7" si="4">IF($G2,$G2/($F2-$G2)/($C2/23),"")</f>
        <v>0.02089166667</v>
      </c>
      <c r="I2">
        <f>IF(AND($E2&lt;&gt;"",$E2&gt;=DateTime!$B$2),DATEDIF(DateTime!$B$2+1,$E2,"M")+1,)</f>
        <v>2</v>
      </c>
      <c r="J2" s="261">
        <f>IF(AND($E2&lt;&gt;"",$E2&gt;=DateTime!$B$2),$I2*$B2,)</f>
        <v>-681.2</v>
      </c>
    </row>
    <row r="3">
      <c r="A3" s="282" t="s">
        <v>881</v>
      </c>
      <c r="B3" s="283">
        <v>-704.62</v>
      </c>
      <c r="C3" s="125">
        <v>36.0</v>
      </c>
      <c r="D3" s="122">
        <v>43286.0</v>
      </c>
      <c r="E3" s="122">
        <f t="shared" si="1"/>
        <v>44352</v>
      </c>
      <c r="F3" s="32">
        <f t="shared" si="2"/>
        <v>25366.32</v>
      </c>
      <c r="G3" s="32">
        <f t="shared" si="3"/>
        <v>366.32</v>
      </c>
      <c r="H3" s="173">
        <f t="shared" si="4"/>
        <v>0.009361511111</v>
      </c>
      <c r="I3">
        <f>IF(AND($E3&lt;&gt;"",$E3&gt;=DateTime!$B$2),DATEDIF(DateTime!$B$2+1,$E3,"M")+1,)</f>
        <v>24</v>
      </c>
      <c r="J3" s="261">
        <f>IF(AND($E3&lt;&gt;"",$E3&gt;=DateTime!$B$2),$I3*$B3,)</f>
        <v>-16910.88</v>
      </c>
    </row>
    <row r="4">
      <c r="A4" s="282" t="s">
        <v>898</v>
      </c>
      <c r="B4" s="283">
        <v>-198.83000000000004</v>
      </c>
      <c r="E4" s="122" t="str">
        <f t="shared" si="1"/>
        <v/>
      </c>
      <c r="F4" s="32" t="str">
        <f t="shared" si="2"/>
        <v/>
      </c>
      <c r="G4" s="32" t="str">
        <f t="shared" si="3"/>
        <v/>
      </c>
      <c r="H4" s="173" t="str">
        <f t="shared" si="4"/>
        <v/>
      </c>
      <c r="I4" t="str">
        <f>IF(AND($E4&lt;&gt;"",$E4&gt;=DateTime!$B$2),DATEDIF(DateTime!$B$2+1,$E4,"M")+1,)</f>
        <v/>
      </c>
      <c r="J4" s="284" t="str">
        <f>IF(AND($E4&lt;&gt;"",$E4&gt;=DateTime!$B$2),$I4*$B4,)</f>
        <v/>
      </c>
    </row>
    <row r="5">
      <c r="A5" s="282" t="s">
        <v>899</v>
      </c>
      <c r="B5" s="283">
        <f>16.48*DAY(EOMONTH(DateTime!$B$2,0))</f>
        <v>494.4</v>
      </c>
      <c r="E5" s="122" t="str">
        <f t="shared" si="1"/>
        <v/>
      </c>
      <c r="F5" s="32" t="str">
        <f t="shared" si="2"/>
        <v/>
      </c>
      <c r="G5" s="32" t="str">
        <f t="shared" si="3"/>
        <v/>
      </c>
      <c r="H5" s="173" t="str">
        <f t="shared" si="4"/>
        <v/>
      </c>
      <c r="I5" t="str">
        <f>IF(AND($E5&lt;&gt;"",$E5&gt;=DateTime!$B$2),DATEDIF(DateTime!$B$2+1,$E5,"M")+1,)</f>
        <v/>
      </c>
      <c r="J5" s="284" t="str">
        <f>IF(AND($E5&lt;&gt;"",$E5&gt;=DateTime!$B$2),$I5*$B5,)</f>
        <v/>
      </c>
    </row>
    <row r="6">
      <c r="A6" s="282" t="s">
        <v>901</v>
      </c>
      <c r="B6" s="283">
        <v>207.0</v>
      </c>
      <c r="E6" s="122" t="str">
        <f t="shared" si="1"/>
        <v/>
      </c>
      <c r="F6" s="32" t="str">
        <f t="shared" si="2"/>
        <v/>
      </c>
      <c r="G6" s="32" t="str">
        <f t="shared" si="3"/>
        <v/>
      </c>
      <c r="H6" s="173" t="str">
        <f t="shared" si="4"/>
        <v/>
      </c>
      <c r="I6" t="str">
        <f>IF(AND($E6&lt;&gt;"",$E6&gt;=DateTime!$B$2),DATEDIF(DateTime!$B$2+1,$E6,"M")+1,)</f>
        <v/>
      </c>
      <c r="J6" s="284" t="str">
        <f>IF(AND($E6&lt;&gt;"",$E6&gt;=DateTime!$B$2),$I6*$B6,)</f>
        <v/>
      </c>
    </row>
    <row r="7">
      <c r="A7" s="282" t="s">
        <v>903</v>
      </c>
      <c r="B7" s="283">
        <v>100.0</v>
      </c>
      <c r="C7" s="55">
        <v>135.0</v>
      </c>
      <c r="D7" s="122">
        <v>42861.0</v>
      </c>
      <c r="E7" s="122">
        <f t="shared" si="1"/>
        <v>46940</v>
      </c>
      <c r="F7" s="32">
        <f t="shared" si="2"/>
        <v>13500</v>
      </c>
      <c r="G7" s="32" t="str">
        <f t="shared" si="3"/>
        <v/>
      </c>
      <c r="H7" s="173" t="str">
        <f t="shared" si="4"/>
        <v/>
      </c>
      <c r="I7">
        <f>IF(AND($E7&lt;&gt;"",$E7&gt;=DateTime!$B$2),DATEDIF(DateTime!$B$2+1,$E7,"M")+1,)</f>
        <v>109</v>
      </c>
      <c r="J7" s="261">
        <f>IF(AND($E7&lt;&gt;"",$E7&gt;=DateTime!$B$2),$I7*$B7,)</f>
        <v>10900</v>
      </c>
    </row>
  </sheetData>
  <drawing r:id="rId2"/>
  <legacyDrawing r:id="rId3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FF"/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2.75"/>
  <sheetData>
    <row r="1">
      <c r="A1" s="285" t="s">
        <v>0</v>
      </c>
      <c r="B1" s="285" t="str">
        <f t="array" ref="B1:F1">TRANSPOSE(OFFSET(Investment!$A:$A,1,0,ROWS(Investment!$A:$A)-2,1))</f>
        <v>Long term US bonds (20-25 year)</v>
      </c>
      <c r="C1" s="285" t="s">
        <v>343</v>
      </c>
      <c r="D1" s="285" t="s">
        <v>364</v>
      </c>
      <c r="E1" s="285" t="s">
        <v>317</v>
      </c>
      <c r="F1" s="285" t="s">
        <v>328</v>
      </c>
      <c r="G1" s="285" t="str">
        <f>OFFSET(B1,0,0,1,COLUMN()-2)</f>
        <v>Long term US bonds (20-25 year)</v>
      </c>
      <c r="H1" s="285" t="s">
        <v>343</v>
      </c>
      <c r="I1" s="285" t="s">
        <v>364</v>
      </c>
      <c r="J1" s="285" t="s">
        <v>317</v>
      </c>
      <c r="K1" s="285" t="s">
        <v>328</v>
      </c>
    </row>
    <row r="2">
      <c r="A2" s="286">
        <f>DateTime!$B$1-TIME(2,0,0)</f>
        <v>43643.80672</v>
      </c>
      <c r="B2" s="287">
        <f t="array" ref="B2:F2">TRANSPOSE(OFFSET(Investment!$M:$M,1,0,ROWS(Investment!$M:$M)-2,1))</f>
        <v>4.346</v>
      </c>
      <c r="C2" s="287">
        <v>48.701</v>
      </c>
      <c r="D2" s="287">
        <v>177.5</v>
      </c>
      <c r="E2" s="287">
        <v>118.1</v>
      </c>
      <c r="F2" s="288">
        <v>7.202</v>
      </c>
      <c r="G2" s="241">
        <f t="shared" ref="G2:K2" si="1">SUM(1-B5/B4+1-B4/B3+1-B3/B2)/3</f>
        <v>0.0009872229894</v>
      </c>
      <c r="H2" s="241">
        <f t="shared" si="1"/>
        <v>-0.004361730664</v>
      </c>
      <c r="I2" s="241">
        <f t="shared" si="1"/>
        <v>0.0007282371816</v>
      </c>
      <c r="J2" s="241">
        <f t="shared" si="1"/>
        <v>-0.0009690417016</v>
      </c>
      <c r="K2" s="241">
        <f t="shared" si="1"/>
        <v>0.004589406892</v>
      </c>
    </row>
    <row r="3">
      <c r="A3" s="289">
        <v>43642.97549344908</v>
      </c>
      <c r="B3" s="290">
        <v>4.331</v>
      </c>
      <c r="C3" s="290">
        <v>48.879</v>
      </c>
      <c r="D3" s="290">
        <v>177.09</v>
      </c>
      <c r="E3" s="290">
        <v>118.32</v>
      </c>
      <c r="F3" s="291">
        <v>7.213</v>
      </c>
      <c r="G3" s="243">
        <v>-5.286729375610921E-4</v>
      </c>
      <c r="H3" s="243">
        <v>-0.006055121746834535</v>
      </c>
      <c r="I3" s="243">
        <v>-9.639299366288601E-4</v>
      </c>
      <c r="J3" s="243">
        <v>0.0028324014385575267</v>
      </c>
      <c r="K3" s="243">
        <v>0.003502954782208042</v>
      </c>
    </row>
    <row r="4">
      <c r="A4" s="289">
        <v>43641.975501678244</v>
      </c>
      <c r="B4" s="290">
        <v>4.355</v>
      </c>
      <c r="C4" s="290">
        <v>49.073</v>
      </c>
      <c r="D4" s="290">
        <v>177.72</v>
      </c>
      <c r="E4" s="290">
        <v>119.65</v>
      </c>
      <c r="F4" s="291">
        <v>7.184</v>
      </c>
      <c r="G4" s="243">
        <v>-0.003522743999255414</v>
      </c>
      <c r="H4" s="243">
        <v>-0.00399543421649932</v>
      </c>
      <c r="I4" s="243">
        <v>-0.003606921055818576</v>
      </c>
      <c r="J4" s="243">
        <v>0.006948725629403296</v>
      </c>
      <c r="K4" s="243">
        <v>7.149280392547327E-4</v>
      </c>
    </row>
    <row r="5">
      <c r="A5" s="289">
        <v>43640.97546922453</v>
      </c>
      <c r="B5" s="290">
        <v>4.333</v>
      </c>
      <c r="C5" s="290">
        <v>49.341</v>
      </c>
      <c r="D5" s="290">
        <v>177.11</v>
      </c>
      <c r="E5" s="290">
        <v>118.43</v>
      </c>
      <c r="F5" s="291">
        <v>7.103</v>
      </c>
      <c r="G5" s="243">
        <v>-0.0036159942908690437</v>
      </c>
      <c r="H5" s="243">
        <v>-0.0012487554869865154</v>
      </c>
      <c r="I5" s="243">
        <v>-0.0035634825896196562</v>
      </c>
      <c r="J5" s="243">
        <v>0.011743147089214053</v>
      </c>
      <c r="K5" s="243">
        <v>-2.067423062219742E-4</v>
      </c>
    </row>
    <row r="6">
      <c r="A6" s="289">
        <v>43637.97546983796</v>
      </c>
      <c r="B6" s="290">
        <v>4.33775</v>
      </c>
      <c r="C6" s="290">
        <v>49.772</v>
      </c>
      <c r="D6" s="290">
        <v>177.6</v>
      </c>
      <c r="E6" s="290">
        <v>117.3</v>
      </c>
      <c r="F6" s="291">
        <v>7.137</v>
      </c>
      <c r="G6" s="243">
        <v>-0.005628951717316662</v>
      </c>
      <c r="H6" s="243">
        <v>3.8411294452841044E-4</v>
      </c>
      <c r="I6" s="243">
        <v>-0.003963428672007903</v>
      </c>
      <c r="J6" s="243">
        <v>0.0075710171723895785</v>
      </c>
      <c r="K6" s="243">
        <v>-7.217675470942986E-4</v>
      </c>
    </row>
    <row r="7">
      <c r="A7" s="289">
        <v>43636.975486006944</v>
      </c>
      <c r="B7" s="290">
        <v>4.40075</v>
      </c>
      <c r="C7" s="290">
        <v>49.662</v>
      </c>
      <c r="D7" s="290">
        <v>179.64</v>
      </c>
      <c r="E7" s="290">
        <v>117.17</v>
      </c>
      <c r="F7" s="291">
        <v>7.168</v>
      </c>
      <c r="G7" s="243">
        <v>0.0021783374832345195</v>
      </c>
      <c r="H7" s="243">
        <v>0.00417330837251928</v>
      </c>
      <c r="I7" s="243">
        <v>0.0017202403623372369</v>
      </c>
      <c r="J7" s="243">
        <v>0.009702393715132485</v>
      </c>
      <c r="K7" s="243">
        <v>0.00384875600929128</v>
      </c>
    </row>
    <row r="8">
      <c r="A8" s="289">
        <v>43635.97548136574</v>
      </c>
      <c r="B8" s="290">
        <v>4.37975</v>
      </c>
      <c r="C8" s="290">
        <v>49.524</v>
      </c>
      <c r="D8" s="290">
        <v>179.0</v>
      </c>
      <c r="E8" s="290">
        <v>114.29</v>
      </c>
      <c r="F8" s="291">
        <v>7.107</v>
      </c>
      <c r="G8" s="243">
        <v>8.507520771211899E-4</v>
      </c>
      <c r="H8" s="243">
        <v>0.003661682814600775</v>
      </c>
      <c r="I8" s="243">
        <v>2.155927829314841E-4</v>
      </c>
      <c r="J8" s="243">
        <v>-0.0013035220801326242</v>
      </c>
      <c r="K8" s="243">
        <v>2.1226265268622E-4</v>
      </c>
    </row>
    <row r="9">
      <c r="A9" s="289">
        <v>43634.97408905093</v>
      </c>
      <c r="B9" s="290">
        <v>4.411</v>
      </c>
      <c r="C9" s="290">
        <v>49.714</v>
      </c>
      <c r="D9" s="290">
        <v>179.71</v>
      </c>
      <c r="E9" s="290">
        <v>114.63</v>
      </c>
      <c r="F9" s="291">
        <v>7.152</v>
      </c>
      <c r="G9" s="243">
        <v>0.0059075097010123185</v>
      </c>
      <c r="H9" s="243">
        <v>0.006669191342624965</v>
      </c>
      <c r="I9" s="243">
        <v>0.0036993510237379734</v>
      </c>
      <c r="J9" s="243">
        <v>0.0038427894074595606</v>
      </c>
      <c r="K9" s="243">
        <v>0.006171538963217649</v>
      </c>
    </row>
    <row r="10">
      <c r="A10" s="289">
        <v>43633.97545405093</v>
      </c>
      <c r="B10" s="290">
        <v>4.3717500000000005</v>
      </c>
      <c r="C10" s="290">
        <v>49.039</v>
      </c>
      <c r="D10" s="290">
        <v>178.71</v>
      </c>
      <c r="E10" s="290">
        <v>113.77</v>
      </c>
      <c r="F10" s="291">
        <v>7.085</v>
      </c>
      <c r="G10" s="243">
        <v>8.990694922351716E-4</v>
      </c>
      <c r="H10" s="243">
        <v>0.004052013549320203</v>
      </c>
      <c r="I10" s="243">
        <v>0.003963949635837387</v>
      </c>
      <c r="J10" s="243">
        <v>0.004284031510138379</v>
      </c>
      <c r="K10" s="243">
        <v>0.005090654688821046</v>
      </c>
    </row>
    <row r="11">
      <c r="A11" s="289">
        <v>43630.97545363426</v>
      </c>
      <c r="B11" s="287">
        <v>4.3683</v>
      </c>
      <c r="C11" s="290">
        <v>48.978</v>
      </c>
      <c r="D11" s="290">
        <v>178.88</v>
      </c>
      <c r="E11" s="290">
        <v>114.73</v>
      </c>
      <c r="F11" s="291">
        <v>7.102</v>
      </c>
      <c r="G11" s="243">
        <v>0.0013382787207149398</v>
      </c>
      <c r="H11" s="243">
        <v>0.0024951888429421607</v>
      </c>
      <c r="I11" s="243">
        <v>0.00492282485515864</v>
      </c>
      <c r="J11" s="243">
        <v>0.008669890895926883</v>
      </c>
      <c r="K11" s="243">
        <v>0.006511554835679186</v>
      </c>
    </row>
    <row r="12">
      <c r="A12" s="289">
        <v>43629.97491225695</v>
      </c>
      <c r="B12" s="290">
        <v>4.3332</v>
      </c>
      <c r="C12" s="290">
        <v>48.724</v>
      </c>
      <c r="D12" s="290">
        <v>177.72</v>
      </c>
      <c r="E12" s="290">
        <v>113.3</v>
      </c>
      <c r="F12" s="291">
        <v>7.02</v>
      </c>
      <c r="G12" s="243">
        <v>-0.004034847295560584</v>
      </c>
      <c r="H12" s="243">
        <v>-4.3348119271939084E-4</v>
      </c>
      <c r="I12" s="243">
        <v>0.0021182007585998455</v>
      </c>
      <c r="J12" s="243">
        <v>0.0035310449808704978</v>
      </c>
      <c r="K12" s="243">
        <v>0.0026150085014264857</v>
      </c>
    </row>
    <row r="13">
      <c r="A13" s="289">
        <v>43628.97551230324</v>
      </c>
      <c r="B13" s="290">
        <v>4.35975</v>
      </c>
      <c r="C13" s="290">
        <v>48.445</v>
      </c>
      <c r="D13" s="290">
        <v>176.59</v>
      </c>
      <c r="E13" s="290">
        <v>112.3</v>
      </c>
      <c r="F13" s="291">
        <v>6.977</v>
      </c>
      <c r="G13" s="243">
        <v>-0.0017644655885351208</v>
      </c>
      <c r="H13" s="243">
        <v>0.001238070617818628</v>
      </c>
      <c r="I13" s="243">
        <v>-0.0016245840393469175</v>
      </c>
      <c r="J13" s="243">
        <v>-0.0026521505279098654</v>
      </c>
      <c r="K13" s="243">
        <v>0.0014346732339890107</v>
      </c>
    </row>
    <row r="14">
      <c r="A14" s="122">
        <v>43627.0</v>
      </c>
      <c r="B14" s="292">
        <v>4.352</v>
      </c>
      <c r="C14" s="293">
        <v>48.611</v>
      </c>
      <c r="D14" s="293">
        <v>176.25</v>
      </c>
      <c r="E14" s="293">
        <v>111.77</v>
      </c>
      <c r="F14" s="291">
        <v>6.964</v>
      </c>
      <c r="G14" s="241">
        <v>-0.0021301868124077306</v>
      </c>
      <c r="H14" s="241">
        <v>0.007054352041260333</v>
      </c>
      <c r="I14" s="241">
        <v>-0.0025708785037819037</v>
      </c>
      <c r="J14" s="241">
        <v>-0.0028788560698801056</v>
      </c>
      <c r="K14" s="241">
        <v>8.986009334925142E-5</v>
      </c>
    </row>
    <row r="15">
      <c r="A15" s="240">
        <v>43626.97555510417</v>
      </c>
      <c r="B15" s="294">
        <v>4.38575</v>
      </c>
      <c r="C15" s="295">
        <v>48.786</v>
      </c>
      <c r="D15" s="295">
        <v>176.59</v>
      </c>
      <c r="E15" s="295">
        <v>112.1</v>
      </c>
      <c r="F15" s="288">
        <v>6.965</v>
      </c>
      <c r="G15" s="241">
        <v>4.530633307278838E-4</v>
      </c>
      <c r="H15" s="241">
        <v>0.008241465811113883</v>
      </c>
      <c r="I15" s="241">
        <v>-0.0019247209380136947</v>
      </c>
      <c r="J15" s="241">
        <v>-0.0018851226822851341</v>
      </c>
      <c r="K15" s="241">
        <v>1.3760160443846795E-4</v>
      </c>
    </row>
    <row r="16">
      <c r="A16" s="240">
        <v>43623.97553260416</v>
      </c>
      <c r="B16" s="294">
        <v>4.38275</v>
      </c>
      <c r="C16" s="295">
        <v>48.262</v>
      </c>
      <c r="D16" s="295">
        <v>177.45</v>
      </c>
      <c r="E16" s="295">
        <v>113.19</v>
      </c>
      <c r="F16" s="288">
        <v>6.947</v>
      </c>
      <c r="G16" s="241">
        <v>-7.453228632249657E-4</v>
      </c>
      <c r="H16" s="241">
        <v>0.007497993728563301</v>
      </c>
      <c r="I16" s="241">
        <v>-5.739470131567911E-5</v>
      </c>
      <c r="J16" s="241">
        <v>0.003100612497800359</v>
      </c>
      <c r="K16" s="241">
        <v>-0.005368107815700888</v>
      </c>
    </row>
    <row r="17">
      <c r="A17" s="240">
        <v>43622.97405748843</v>
      </c>
      <c r="B17" s="294">
        <v>4.39475</v>
      </c>
      <c r="C17" s="295">
        <v>47.772</v>
      </c>
      <c r="D17" s="295">
        <v>177.82</v>
      </c>
      <c r="E17" s="295">
        <v>112.95</v>
      </c>
      <c r="F17" s="288">
        <v>6.929</v>
      </c>
      <c r="G17" s="241">
        <v>-0.0026404702304909655</v>
      </c>
      <c r="H17" s="241">
        <v>0.006925376193900434</v>
      </c>
      <c r="I17" s="241">
        <v>-0.0011653832956515602</v>
      </c>
      <c r="J17" s="241">
        <v>0.002156038290213084</v>
      </c>
      <c r="K17" s="241">
        <v>-0.0071762108145877095</v>
      </c>
    </row>
    <row r="18">
      <c r="A18" s="240">
        <v>43621.97554784722</v>
      </c>
      <c r="B18" s="294">
        <v>4.37975</v>
      </c>
      <c r="C18" s="295">
        <v>47.589</v>
      </c>
      <c r="D18" s="295">
        <v>177.61</v>
      </c>
      <c r="E18" s="295">
        <v>112.73</v>
      </c>
      <c r="F18" s="288">
        <v>6.962</v>
      </c>
      <c r="G18" s="241">
        <v>-0.003748090159701863</v>
      </c>
      <c r="H18" s="241">
        <v>0.0027202511996985055</v>
      </c>
      <c r="I18" s="241">
        <v>-0.0012975139858970957</v>
      </c>
      <c r="J18" s="241">
        <v>0.00435832507237673</v>
      </c>
      <c r="K18" s="241">
        <v>-0.010203267894180282</v>
      </c>
    </row>
    <row r="19">
      <c r="A19" s="240">
        <v>43620.97553408565</v>
      </c>
      <c r="B19" s="294">
        <v>4.3925</v>
      </c>
      <c r="C19" s="295">
        <v>47.184</v>
      </c>
      <c r="D19" s="295">
        <v>177.48</v>
      </c>
      <c r="E19" s="295">
        <v>112.14</v>
      </c>
      <c r="F19" s="288">
        <v>7.059</v>
      </c>
      <c r="G19" s="241">
        <v>6.842372523321316E-4</v>
      </c>
      <c r="H19" s="241">
        <v>-0.0026166977232058297</v>
      </c>
      <c r="I19" s="241">
        <v>-2.3283841874562525E-4</v>
      </c>
      <c r="J19" s="241">
        <v>0.006838083009302294</v>
      </c>
      <c r="K19" s="241">
        <v>-0.009274581476617897</v>
      </c>
    </row>
    <row r="20">
      <c r="A20" s="240">
        <v>43619.97560135416</v>
      </c>
      <c r="B20" s="294">
        <v>4.4295</v>
      </c>
      <c r="C20" s="295">
        <v>46.786</v>
      </c>
      <c r="D20" s="295">
        <v>178.44</v>
      </c>
      <c r="E20" s="295">
        <v>112.22</v>
      </c>
      <c r="F20" s="288">
        <v>7.079</v>
      </c>
      <c r="G20" s="241">
        <v>0.002632692271141305</v>
      </c>
      <c r="H20" s="241">
        <v>-0.0045871832231465515</v>
      </c>
      <c r="I20" s="241">
        <v>0.0014763377960086421</v>
      </c>
      <c r="J20" s="241">
        <v>0.0074096694993781576</v>
      </c>
      <c r="K20" s="241">
        <v>-0.00869762194442599</v>
      </c>
    </row>
    <row r="21">
      <c r="A21" s="240">
        <v>43616.97553696759</v>
      </c>
      <c r="B21" s="294">
        <v>4.4291</v>
      </c>
      <c r="C21" s="295">
        <v>47.197</v>
      </c>
      <c r="D21" s="295">
        <v>178.3</v>
      </c>
      <c r="E21" s="295">
        <v>111.26</v>
      </c>
      <c r="F21" s="288">
        <v>7.177</v>
      </c>
      <c r="G21" s="241">
        <v>0.0068731778632566964</v>
      </c>
      <c r="H21" s="241">
        <v>-0.006100496470674603</v>
      </c>
      <c r="I21" s="241">
        <v>0.003184978036527878</v>
      </c>
      <c r="J21" s="241">
        <v>0.006502116706757044</v>
      </c>
      <c r="K21" s="241">
        <v>-0.00220186879171802</v>
      </c>
    </row>
    <row r="22">
      <c r="A22" s="240">
        <v>43615.97552291666</v>
      </c>
      <c r="B22" s="294">
        <v>4.3831</v>
      </c>
      <c r="C22" s="295">
        <v>47.551</v>
      </c>
      <c r="D22" s="295">
        <v>177.6</v>
      </c>
      <c r="E22" s="295">
        <v>109.85</v>
      </c>
      <c r="F22" s="288">
        <v>7.257</v>
      </c>
      <c r="G22" s="241">
        <v>0.00540902788996885</v>
      </c>
      <c r="H22" s="241">
        <v>-0.0035379194859945415</v>
      </c>
      <c r="I22" s="241">
        <v>0.003140950374579843</v>
      </c>
      <c r="J22" s="241">
        <v>7.501268479615705E-4</v>
      </c>
      <c r="K22" s="241">
        <v>0.0026211238152486307</v>
      </c>
    </row>
    <row r="23">
      <c r="A23" s="240">
        <v>43614.97553484954</v>
      </c>
      <c r="B23" s="294">
        <v>4.3944</v>
      </c>
      <c r="C23" s="295">
        <v>47.431</v>
      </c>
      <c r="D23" s="295">
        <v>177.65</v>
      </c>
      <c r="E23" s="295">
        <v>109.74</v>
      </c>
      <c r="F23" s="288">
        <v>7.265</v>
      </c>
      <c r="G23" s="241">
        <v>0.007969030057179268</v>
      </c>
      <c r="H23" s="241">
        <v>-0.0036646475692296843</v>
      </c>
      <c r="I23" s="241">
        <v>0.003916883685825545</v>
      </c>
      <c r="J23" s="241">
        <v>0.0011462653557918756</v>
      </c>
      <c r="K23" s="241">
        <v>0.005627474005869122</v>
      </c>
    </row>
    <row r="24">
      <c r="A24" s="240">
        <v>43613.9755316088</v>
      </c>
      <c r="B24" s="294">
        <v>4.3381</v>
      </c>
      <c r="C24" s="295">
        <v>48.063</v>
      </c>
      <c r="D24" s="295">
        <v>176.6</v>
      </c>
      <c r="E24" s="295">
        <v>109.1</v>
      </c>
      <c r="F24" s="288">
        <v>7.224</v>
      </c>
      <c r="G24" s="241">
        <v>0.0026883657845556317</v>
      </c>
      <c r="H24" s="241">
        <v>2.763811325593446E-4</v>
      </c>
      <c r="I24" s="241">
        <v>2.7596901968055904E-4</v>
      </c>
      <c r="J24" s="241">
        <v>-0.002474143851544245</v>
      </c>
      <c r="K24" s="241">
        <v>0.0038396400676637223</v>
      </c>
    </row>
    <row r="25">
      <c r="A25" s="240">
        <v>43612.975542280095</v>
      </c>
      <c r="B25" s="294">
        <v>4.3121</v>
      </c>
      <c r="C25" s="295">
        <v>48.054</v>
      </c>
      <c r="D25" s="295">
        <v>175.93</v>
      </c>
      <c r="E25" s="295">
        <v>109.6</v>
      </c>
      <c r="F25" s="288">
        <v>7.2</v>
      </c>
      <c r="G25" s="241">
        <v>0.004253885933116745</v>
      </c>
      <c r="H25" s="241">
        <v>-0.004644819887999141</v>
      </c>
      <c r="I25" s="241">
        <v>0.0015805294856722958</v>
      </c>
      <c r="J25" s="241">
        <v>0.0018133404254423446</v>
      </c>
      <c r="K25" s="241">
        <v>-0.0017489447473338915</v>
      </c>
    </row>
    <row r="26">
      <c r="A26" s="240">
        <v>43609.975521319444</v>
      </c>
      <c r="B26" s="294">
        <v>4.2901</v>
      </c>
      <c r="C26" s="295">
        <v>47.951</v>
      </c>
      <c r="D26" s="295">
        <v>175.57</v>
      </c>
      <c r="E26" s="295">
        <v>109.36</v>
      </c>
      <c r="F26" s="288">
        <v>7.143</v>
      </c>
      <c r="G26" s="241">
        <v>0.004354158085313031</v>
      </c>
      <c r="H26" s="241">
        <v>-0.005680839490699012</v>
      </c>
      <c r="I26" s="241">
        <v>0.0015266883477011255</v>
      </c>
      <c r="J26" s="241">
        <v>0.0016032910939839755</v>
      </c>
      <c r="K26" s="241">
        <v>-0.007612005714892585</v>
      </c>
    </row>
    <row r="27">
      <c r="A27" s="240">
        <v>43608.97554622685</v>
      </c>
      <c r="B27" s="294">
        <v>4.3031</v>
      </c>
      <c r="C27" s="295">
        <v>48.023</v>
      </c>
      <c r="D27" s="295">
        <v>176.45</v>
      </c>
      <c r="E27" s="295">
        <v>109.91</v>
      </c>
      <c r="F27" s="288">
        <v>7.141</v>
      </c>
      <c r="G27" s="241">
        <v>0.004891880150281598</v>
      </c>
      <c r="H27" s="241">
        <v>-0.003075209285140342</v>
      </c>
      <c r="I27" s="241">
        <v>0.002777813854833592</v>
      </c>
      <c r="J27" s="241">
        <v>0.0022689607671360448</v>
      </c>
      <c r="K27" s="241">
        <v>-0.007477245397462602</v>
      </c>
    </row>
    <row r="28">
      <c r="A28" s="240">
        <v>43607.97554151621</v>
      </c>
      <c r="B28" s="294">
        <v>4.2571</v>
      </c>
      <c r="C28" s="295">
        <v>48.723</v>
      </c>
      <c r="D28" s="295">
        <v>175.09</v>
      </c>
      <c r="E28" s="295">
        <v>109.0</v>
      </c>
      <c r="F28" s="288">
        <v>7.237</v>
      </c>
      <c r="G28" s="241">
        <v>9.354850939508053E-4</v>
      </c>
      <c r="H28" s="241">
        <v>-0.0021507804052096255</v>
      </c>
      <c r="I28" s="241">
        <v>-2.4856988074088243E-4</v>
      </c>
      <c r="J28" s="241">
        <v>-5.214092522309866E-4</v>
      </c>
      <c r="K28" s="241">
        <v>-0.0027678323259427242</v>
      </c>
    </row>
    <row r="29">
      <c r="A29" s="240">
        <v>43606.97556091435</v>
      </c>
      <c r="B29" s="294">
        <v>4.2341</v>
      </c>
      <c r="C29" s="295">
        <v>48.77</v>
      </c>
      <c r="D29" s="295">
        <v>174.76</v>
      </c>
      <c r="E29" s="295">
        <v>108.83</v>
      </c>
      <c r="F29" s="288">
        <v>7.307</v>
      </c>
      <c r="G29" s="241">
        <v>-1.6869500965022155E-6</v>
      </c>
      <c r="H29" s="241">
        <v>-0.0024138631501592345</v>
      </c>
      <c r="I29" s="241">
        <v>-2.109885864603663E-4</v>
      </c>
      <c r="J29" s="241">
        <v>-0.002873292057686309</v>
      </c>
      <c r="K29" s="241">
        <v>-0.0010511290700768727</v>
      </c>
    </row>
    <row r="30">
      <c r="A30" s="240">
        <v>43605.97554951389</v>
      </c>
      <c r="B30" s="294">
        <v>4.2401</v>
      </c>
      <c r="C30" s="295">
        <v>48.462</v>
      </c>
      <c r="D30" s="295">
        <v>174.98</v>
      </c>
      <c r="E30" s="295">
        <v>109.16</v>
      </c>
      <c r="F30" s="288">
        <v>7.302</v>
      </c>
      <c r="G30" s="241">
        <v>7.855720502420264E-4</v>
      </c>
      <c r="H30" s="241">
        <v>6.452412524555751E-4</v>
      </c>
      <c r="I30" s="241">
        <v>-0.003679968446501721</v>
      </c>
      <c r="J30" s="241">
        <v>-0.0037148993061507283</v>
      </c>
      <c r="K30" s="241">
        <v>0.001312866458203869</v>
      </c>
    </row>
    <row r="31">
      <c r="A31" s="240">
        <v>43602.975541527776</v>
      </c>
      <c r="B31" s="294">
        <v>4.2451</v>
      </c>
      <c r="C31" s="295">
        <v>49.034</v>
      </c>
      <c r="D31" s="295">
        <v>175.22</v>
      </c>
      <c r="E31" s="295">
        <v>109.17</v>
      </c>
      <c r="F31" s="288">
        <v>7.297</v>
      </c>
      <c r="G31" s="241">
        <v>0.002833451755630175</v>
      </c>
      <c r="H31" s="241">
        <v>0.0054549925196731115</v>
      </c>
      <c r="I31" s="241">
        <v>-0.0021676228853399295</v>
      </c>
      <c r="J31" s="241">
        <v>-0.0032615811852640952</v>
      </c>
      <c r="K31" s="241">
        <v>0.0031928727634088863</v>
      </c>
    </row>
    <row r="32">
      <c r="A32" s="240">
        <v>43601.97555957176</v>
      </c>
      <c r="B32" s="294">
        <v>4.2341</v>
      </c>
      <c r="C32" s="295">
        <v>49.12</v>
      </c>
      <c r="D32" s="295">
        <v>174.87</v>
      </c>
      <c r="E32" s="295">
        <v>109.77</v>
      </c>
      <c r="F32" s="288">
        <v>7.33</v>
      </c>
      <c r="G32" s="241">
        <v>0.0011065017363527385</v>
      </c>
      <c r="H32" s="241">
        <v>0.010338288424068623</v>
      </c>
      <c r="I32" s="241">
        <v>-0.0023798091861138015</v>
      </c>
      <c r="J32" s="241">
        <v>-0.001520287231266663</v>
      </c>
      <c r="K32" s="241">
        <v>0.010373511642944458</v>
      </c>
    </row>
    <row r="33">
      <c r="A33" s="240">
        <v>43600.97568125</v>
      </c>
      <c r="B33" s="294">
        <v>4.2301</v>
      </c>
      <c r="C33" s="295">
        <v>48.359</v>
      </c>
      <c r="D33" s="295">
        <v>176.91</v>
      </c>
      <c r="E33" s="295">
        <v>110.38</v>
      </c>
      <c r="F33" s="288">
        <v>7.273</v>
      </c>
      <c r="G33" s="241">
        <v>0.002497759273658066</v>
      </c>
      <c r="H33" s="241">
        <v>0.0037457933825839618</v>
      </c>
      <c r="I33" s="241">
        <v>0.0023794617298278364</v>
      </c>
      <c r="J33" s="241">
        <v>0.0032944962908181643</v>
      </c>
      <c r="K33" s="241">
        <v>0.006045313219418665</v>
      </c>
    </row>
    <row r="34">
      <c r="A34" s="240">
        <v>43599.97562747685</v>
      </c>
      <c r="B34" s="294">
        <v>4.2091</v>
      </c>
      <c r="C34" s="295">
        <v>48.232</v>
      </c>
      <c r="D34" s="295">
        <v>176.35</v>
      </c>
      <c r="E34" s="295">
        <v>110.24</v>
      </c>
      <c r="F34" s="288">
        <v>7.227</v>
      </c>
      <c r="G34" s="241">
        <v>0.0014225379326824328</v>
      </c>
      <c r="H34" s="241">
        <v>0.001204217515171968</v>
      </c>
      <c r="I34" s="241">
        <v>0.001305334144123112</v>
      </c>
      <c r="J34" s="241">
        <v>0.0033597126778897035</v>
      </c>
      <c r="K34" s="241">
        <v>0.005990926284462035</v>
      </c>
    </row>
    <row r="35">
      <c r="A35" s="240">
        <v>43598.97569363426</v>
      </c>
      <c r="B35" s="294">
        <v>4.22</v>
      </c>
      <c r="C35" s="295">
        <v>47.61</v>
      </c>
      <c r="D35" s="295">
        <v>176.11</v>
      </c>
      <c r="E35" s="295">
        <v>110.27</v>
      </c>
      <c r="F35" s="288">
        <v>7.104</v>
      </c>
      <c r="G35" s="241">
        <v>0.0014904108626011918</v>
      </c>
      <c r="H35" s="241">
        <v>-0.008983780566980126</v>
      </c>
      <c r="I35" s="241">
        <v>5.101218811881155E-4</v>
      </c>
      <c r="J35" s="241">
        <v>0.0032977008014890194</v>
      </c>
      <c r="K35" s="241">
        <v>-0.004426032227485462</v>
      </c>
    </row>
    <row r="36">
      <c r="A36" s="240">
        <v>43595.97561037037</v>
      </c>
      <c r="B36" s="294">
        <v>4.1984</v>
      </c>
      <c r="C36" s="295">
        <v>47.814</v>
      </c>
      <c r="D36" s="295">
        <v>175.65</v>
      </c>
      <c r="E36" s="295">
        <v>109.29</v>
      </c>
      <c r="F36" s="288">
        <v>7.141</v>
      </c>
      <c r="G36" s="241">
        <v>-2.950945735549215E-4</v>
      </c>
      <c r="H36" s="241">
        <v>-0.008857432770460768</v>
      </c>
      <c r="I36" s="241">
        <v>-8.723750079487521E-4</v>
      </c>
      <c r="J36" s="241">
        <v>-6.72235293076214E-4</v>
      </c>
      <c r="K36" s="241">
        <v>-0.002782539436278079</v>
      </c>
    </row>
    <row r="37">
      <c r="A37" s="240">
        <v>43594.975676284725</v>
      </c>
      <c r="B37" s="294">
        <v>4.1911</v>
      </c>
      <c r="C37" s="295">
        <v>48.053</v>
      </c>
      <c r="D37" s="295">
        <v>175.66</v>
      </c>
      <c r="E37" s="295">
        <v>109.13</v>
      </c>
      <c r="F37" s="288">
        <v>7.097</v>
      </c>
      <c r="G37" s="241">
        <v>0.0011084549688800127</v>
      </c>
      <c r="H37" s="241">
        <v>-0.009880028472931087</v>
      </c>
      <c r="I37" s="241">
        <v>1.686905920416463E-4</v>
      </c>
      <c r="J37" s="241">
        <v>1.7906571787344264E-4</v>
      </c>
      <c r="K37" s="241">
        <v>-0.0059475178862306395</v>
      </c>
    </row>
    <row r="38">
      <c r="A38" s="240">
        <v>43593.975623425926</v>
      </c>
      <c r="B38" s="294">
        <v>4.2011</v>
      </c>
      <c r="C38" s="295">
        <v>48.902</v>
      </c>
      <c r="D38" s="295">
        <v>175.84</v>
      </c>
      <c r="E38" s="295">
        <v>109.18</v>
      </c>
      <c r="F38" s="288">
        <v>7.198</v>
      </c>
      <c r="G38" s="241">
        <v>0.0034199945443231052</v>
      </c>
      <c r="H38" s="241">
        <v>-0.006294240143356185</v>
      </c>
      <c r="I38" s="241">
        <v>0.0015165058535445326</v>
      </c>
      <c r="J38" s="241">
        <v>-4.386774866323624E-6</v>
      </c>
      <c r="K38" s="241">
        <v>-0.004341418615215605</v>
      </c>
    </row>
    <row r="39">
      <c r="A39" s="240">
        <v>43592.97561809028</v>
      </c>
      <c r="B39" s="294">
        <v>4.2021</v>
      </c>
      <c r="C39" s="295">
        <v>49.093</v>
      </c>
      <c r="D39" s="295">
        <v>176.11</v>
      </c>
      <c r="E39" s="295">
        <v>109.51</v>
      </c>
      <c r="F39" s="288">
        <v>7.2</v>
      </c>
      <c r="G39" s="241">
        <v>0.004068509056998441</v>
      </c>
      <c r="H39" s="241">
        <v>-0.0024236344226626163</v>
      </c>
      <c r="I39" s="241">
        <v>0.00252345971276724</v>
      </c>
      <c r="J39" s="241">
        <v>0.0034455735353248937</v>
      </c>
      <c r="K39" s="241">
        <v>-0.0025574490427977548</v>
      </c>
    </row>
    <row r="40">
      <c r="A40" s="240">
        <v>43591.975612152775</v>
      </c>
      <c r="B40" s="294">
        <v>4.1771</v>
      </c>
      <c r="C40" s="295">
        <v>49.489</v>
      </c>
      <c r="D40" s="295">
        <v>175.57</v>
      </c>
      <c r="E40" s="295">
        <v>109.07</v>
      </c>
      <c r="F40" s="288">
        <v>7.224</v>
      </c>
      <c r="G40" s="241">
        <v>0.003040966670371755</v>
      </c>
      <c r="H40" s="241">
        <v>-0.0012246706946456392</v>
      </c>
      <c r="I40" s="241">
        <v>9.673665918629911E-4</v>
      </c>
      <c r="J40" s="241">
        <v>-4.7722825886527726E-4</v>
      </c>
      <c r="K40" s="241">
        <v>-0.004938182636487857</v>
      </c>
    </row>
    <row r="41">
      <c r="A41" s="240">
        <v>43588.97567346065</v>
      </c>
      <c r="B41" s="294">
        <v>4.1581</v>
      </c>
      <c r="C41" s="295">
        <v>49.831</v>
      </c>
      <c r="D41" s="295">
        <v>175.04</v>
      </c>
      <c r="E41" s="295">
        <v>109.18</v>
      </c>
      <c r="F41" s="288">
        <v>7.292</v>
      </c>
      <c r="G41" s="241">
        <v>7.194351933705878E-4</v>
      </c>
      <c r="H41" s="241">
        <v>-0.0015183742048728484</v>
      </c>
      <c r="I41" s="241">
        <v>-8.00523356589126E-4</v>
      </c>
      <c r="J41" s="241">
        <v>-4.767665638303331E-4</v>
      </c>
      <c r="K41" s="241">
        <v>-0.002755342722509435</v>
      </c>
    </row>
    <row r="42">
      <c r="A42" s="240">
        <v>43587.97564416667</v>
      </c>
      <c r="B42" s="294">
        <v>4.151</v>
      </c>
      <c r="C42" s="295">
        <v>49.447</v>
      </c>
      <c r="D42" s="295">
        <v>174.78</v>
      </c>
      <c r="E42" s="295">
        <v>108.38</v>
      </c>
      <c r="F42" s="288">
        <v>7.255</v>
      </c>
      <c r="G42" s="241">
        <v>-0.0017778640124188987</v>
      </c>
      <c r="H42" s="241">
        <v>-0.0027418693895156685</v>
      </c>
      <c r="I42" s="241">
        <v>-0.0020555555717265417</v>
      </c>
      <c r="J42" s="241">
        <v>-0.005266848890729703</v>
      </c>
      <c r="K42" s="241">
        <v>-0.005580172393594503</v>
      </c>
    </row>
    <row r="43">
      <c r="A43" s="240">
        <v>43585.975535219906</v>
      </c>
      <c r="B43" s="294">
        <v>4.1391</v>
      </c>
      <c r="C43" s="295">
        <v>49.668</v>
      </c>
      <c r="D43" s="295">
        <v>175.06</v>
      </c>
      <c r="E43" s="295">
        <v>109.22</v>
      </c>
      <c r="F43" s="288">
        <v>7.331</v>
      </c>
      <c r="G43" s="241">
        <v>-0.0016151836563186677</v>
      </c>
      <c r="H43" s="241">
        <v>-0.0016666108670710205</v>
      </c>
      <c r="I43" s="241">
        <v>-0.0014267785614584156</v>
      </c>
      <c r="J43" s="241">
        <v>-0.0010181935081842546</v>
      </c>
      <c r="K43" s="241">
        <v>-0.005070569792629431</v>
      </c>
    </row>
    <row r="44">
      <c r="A44" s="240">
        <v>43584.97560777778</v>
      </c>
      <c r="B44" s="294">
        <v>4.1491</v>
      </c>
      <c r="C44" s="295">
        <v>50.055</v>
      </c>
      <c r="D44" s="295">
        <v>175.46</v>
      </c>
      <c r="E44" s="295">
        <v>109.33</v>
      </c>
      <c r="F44" s="288">
        <v>7.352</v>
      </c>
      <c r="G44" s="241">
        <v>4.7247310299806483E-4</v>
      </c>
      <c r="H44" s="241">
        <v>0.0019924399130701507</v>
      </c>
      <c r="I44" s="241">
        <v>7.947744373483593E-4</v>
      </c>
      <c r="J44" s="241">
        <v>0.0016300108329422673</v>
      </c>
      <c r="K44" s="241">
        <v>-0.0030408851065801823</v>
      </c>
    </row>
    <row r="45">
      <c r="A45" s="240">
        <v>43581.97563049768</v>
      </c>
      <c r="B45" s="294">
        <v>4.1731</v>
      </c>
      <c r="C45" s="295">
        <v>49.853</v>
      </c>
      <c r="D45" s="295">
        <v>175.86</v>
      </c>
      <c r="E45" s="295">
        <v>110.1</v>
      </c>
      <c r="F45" s="288">
        <v>7.377</v>
      </c>
      <c r="G45" s="241">
        <v>0.005377439084843154</v>
      </c>
      <c r="H45" s="241">
        <v>0.0017258498381983085</v>
      </c>
      <c r="I45" s="241">
        <v>0.003344748760956214</v>
      </c>
      <c r="J45" s="241">
        <v>0.006245008643002629</v>
      </c>
      <c r="K45" s="241">
        <v>-0.0022668441683525073</v>
      </c>
    </row>
    <row r="46">
      <c r="A46" s="240">
        <v>43580.975545625</v>
      </c>
      <c r="B46" s="294">
        <v>4.1591</v>
      </c>
      <c r="C46" s="295">
        <v>49.915</v>
      </c>
      <c r="D46" s="295">
        <v>175.81</v>
      </c>
      <c r="E46" s="295">
        <v>109.55</v>
      </c>
      <c r="F46" s="288">
        <v>7.443</v>
      </c>
      <c r="G46" s="241">
        <v>0.004039979609961423</v>
      </c>
      <c r="H46" s="241">
        <v>0.006556169673274326</v>
      </c>
      <c r="I46" s="241">
        <v>0.004188134550816162</v>
      </c>
      <c r="J46" s="241">
        <v>0.004086257109087943</v>
      </c>
      <c r="K46" s="241">
        <v>0.002151599183183491</v>
      </c>
    </row>
    <row r="47">
      <c r="A47" s="240">
        <v>43579.89794879629</v>
      </c>
      <c r="B47" s="294">
        <v>4.1431</v>
      </c>
      <c r="C47" s="295">
        <v>49.756</v>
      </c>
      <c r="D47" s="295">
        <v>175.04</v>
      </c>
      <c r="E47" s="295">
        <v>108.79</v>
      </c>
      <c r="F47" s="288">
        <v>7.419</v>
      </c>
      <c r="G47" s="241">
        <v>0.005572746955023966</v>
      </c>
      <c r="H47" s="241">
        <v>0.00706778403332257</v>
      </c>
      <c r="I47" s="241">
        <v>0.004936239310246855</v>
      </c>
      <c r="J47" s="241">
        <v>0.0034680031331012864</v>
      </c>
      <c r="K47" s="241">
        <v>0.00202334929812061</v>
      </c>
    </row>
    <row r="48">
      <c r="A48" s="240">
        <v>43578.97560277778</v>
      </c>
      <c r="B48" s="294">
        <v>4.1061</v>
      </c>
      <c r="C48" s="295">
        <v>49.595</v>
      </c>
      <c r="D48" s="295">
        <v>174.1</v>
      </c>
      <c r="E48" s="295">
        <v>108.05</v>
      </c>
      <c r="F48" s="288">
        <v>7.427</v>
      </c>
      <c r="G48" s="241">
        <v>0.003086815931970429</v>
      </c>
      <c r="H48" s="241">
        <v>0.004675207637052796</v>
      </c>
      <c r="I48" s="241">
        <v>0.0031268441245611753</v>
      </c>
      <c r="J48" s="241">
        <v>9.219828477348516E-4</v>
      </c>
      <c r="K48" s="241">
        <v>0.0017951364755979249</v>
      </c>
    </row>
    <row r="49">
      <c r="A49" s="240">
        <v>43573.97544317129</v>
      </c>
      <c r="B49" s="294">
        <v>4.1088</v>
      </c>
      <c r="C49" s="295">
        <v>48.938</v>
      </c>
      <c r="D49" s="295">
        <v>173.61</v>
      </c>
      <c r="E49" s="295">
        <v>108.21</v>
      </c>
      <c r="F49" s="288">
        <v>7.395</v>
      </c>
      <c r="G49" s="241">
        <v>0.0019949886895930615</v>
      </c>
      <c r="H49" s="241">
        <v>0.0015000924199473447</v>
      </c>
      <c r="I49" s="241">
        <v>0.0017828182907682437</v>
      </c>
      <c r="J49" s="241">
        <v>-0.001770806754054351</v>
      </c>
      <c r="K49" s="241">
        <v>-7.240483919746336E-4</v>
      </c>
    </row>
    <row r="50">
      <c r="A50" s="240">
        <v>43572.97561418981</v>
      </c>
      <c r="B50" s="294">
        <v>4.0741</v>
      </c>
      <c r="C50" s="295">
        <v>48.707</v>
      </c>
      <c r="D50" s="295">
        <v>172.46</v>
      </c>
      <c r="E50" s="295">
        <v>107.66</v>
      </c>
      <c r="F50" s="288">
        <v>7.374</v>
      </c>
      <c r="G50" s="241">
        <v>-4.936380484396782E-4</v>
      </c>
      <c r="H50" s="241">
        <v>2.8246939363348506E-4</v>
      </c>
      <c r="I50" s="241">
        <v>-2.514640823568411E-4</v>
      </c>
      <c r="J50" s="241">
        <v>-0.004200472576329754</v>
      </c>
      <c r="K50" s="241">
        <v>-0.002660154005498535</v>
      </c>
    </row>
    <row r="51">
      <c r="A51" s="240">
        <v>43571.97564483796</v>
      </c>
      <c r="B51" s="294">
        <v>4.0681</v>
      </c>
      <c r="C51" s="295">
        <v>48.899</v>
      </c>
      <c r="D51" s="295">
        <v>172.47</v>
      </c>
      <c r="E51" s="295">
        <v>107.75</v>
      </c>
      <c r="F51" s="288">
        <v>7.387</v>
      </c>
      <c r="G51" s="241">
        <v>-0.005232805904407593</v>
      </c>
      <c r="H51" s="241">
        <v>0.0015690507051970837</v>
      </c>
      <c r="I51" s="241">
        <v>-0.0029746663961643938</v>
      </c>
      <c r="J51" s="241">
        <v>-0.005970371333431442</v>
      </c>
      <c r="K51" s="241">
        <v>-0.0033730104518142254</v>
      </c>
    </row>
    <row r="52">
      <c r="A52" s="240">
        <v>43570.975653437505</v>
      </c>
      <c r="B52" s="294">
        <v>4.0841</v>
      </c>
      <c r="C52" s="295">
        <v>48.717</v>
      </c>
      <c r="D52" s="295">
        <v>172.68</v>
      </c>
      <c r="E52" s="295">
        <v>108.78</v>
      </c>
      <c r="F52" s="288">
        <v>7.411</v>
      </c>
      <c r="G52" s="241">
        <v>-0.005131831052264372</v>
      </c>
      <c r="H52" s="241">
        <v>9.3110903271539E-4</v>
      </c>
      <c r="I52" s="241">
        <v>-0.003143478325144463</v>
      </c>
      <c r="J52" s="241">
        <v>-0.006400234950344623</v>
      </c>
      <c r="K52" s="241">
        <v>-0.004032187110687128</v>
      </c>
    </row>
    <row r="53">
      <c r="A53" s="240">
        <v>43567.97559715278</v>
      </c>
      <c r="B53" s="294">
        <v>4.0801</v>
      </c>
      <c r="C53" s="295">
        <v>48.665</v>
      </c>
      <c r="D53" s="295">
        <v>172.59</v>
      </c>
      <c r="E53" s="295">
        <v>109.02</v>
      </c>
      <c r="F53" s="288">
        <v>7.433</v>
      </c>
      <c r="G53" s="241">
        <v>-0.004654525843059402</v>
      </c>
      <c r="H53" s="241">
        <v>0.0012408677513651156</v>
      </c>
      <c r="I53" s="241">
        <v>-0.0025522893482210485</v>
      </c>
      <c r="J53" s="241">
        <v>-0.0044021793808604786</v>
      </c>
      <c r="K53" s="241">
        <v>-0.0012651262555858356</v>
      </c>
    </row>
    <row r="54">
      <c r="A54" s="240">
        <v>43566.97564020833</v>
      </c>
      <c r="B54" s="294">
        <v>4.1321</v>
      </c>
      <c r="C54" s="295">
        <v>48.669</v>
      </c>
      <c r="D54" s="295">
        <v>174.01</v>
      </c>
      <c r="E54" s="295">
        <v>109.69</v>
      </c>
      <c r="F54" s="288">
        <v>7.462</v>
      </c>
      <c r="G54" s="241">
        <v>2.3830994231525496E-4</v>
      </c>
      <c r="H54" s="241">
        <v>-9.988299267301344E-5</v>
      </c>
      <c r="I54" s="241">
        <v>3.6274413777759307E-4</v>
      </c>
      <c r="J54" s="241">
        <v>-9.353142944369767E-4</v>
      </c>
      <c r="K54" s="241">
        <v>-9.028315423242894E-4</v>
      </c>
    </row>
    <row r="55">
      <c r="A55" s="240">
        <v>43565.97559818287</v>
      </c>
      <c r="B55" s="294">
        <v>4.1471</v>
      </c>
      <c r="C55" s="295">
        <v>48.581</v>
      </c>
      <c r="D55" s="295">
        <v>174.31</v>
      </c>
      <c r="E55" s="295">
        <v>110.88</v>
      </c>
      <c r="F55" s="288">
        <v>7.501</v>
      </c>
      <c r="G55" s="241">
        <v>-4.0839194964777575E-4</v>
      </c>
      <c r="H55" s="241">
        <v>-0.0019624449674541244</v>
      </c>
      <c r="I55" s="241">
        <v>-6.159072782105183E-4</v>
      </c>
      <c r="J55" s="241">
        <v>0.002832466493741248</v>
      </c>
      <c r="K55" s="241">
        <v>0.0017303560909611344</v>
      </c>
    </row>
    <row r="56">
      <c r="A56" s="240">
        <v>43564.97563767361</v>
      </c>
      <c r="B56" s="294">
        <v>4.1371</v>
      </c>
      <c r="C56" s="295">
        <v>48.484</v>
      </c>
      <c r="D56" s="295">
        <v>173.91</v>
      </c>
      <c r="E56" s="295">
        <v>110.46</v>
      </c>
      <c r="F56" s="288">
        <v>7.461</v>
      </c>
      <c r="G56" s="241">
        <v>-4.896405240942073E-4</v>
      </c>
      <c r="H56" s="241">
        <v>-6.157355063578507E-4</v>
      </c>
      <c r="I56" s="241">
        <v>-0.0010563324130778984</v>
      </c>
      <c r="J56" s="241">
        <v>0.0026007055515929003</v>
      </c>
      <c r="K56" s="241">
        <v>3.9952308240061757E-4</v>
      </c>
    </row>
    <row r="57">
      <c r="A57" s="240">
        <v>43563.97568585648</v>
      </c>
      <c r="B57" s="294">
        <v>4.1291</v>
      </c>
      <c r="C57" s="295">
        <v>48.683</v>
      </c>
      <c r="D57" s="295">
        <v>173.82</v>
      </c>
      <c r="E57" s="295">
        <v>109.99</v>
      </c>
      <c r="F57" s="288">
        <v>7.482</v>
      </c>
      <c r="G57" s="241">
        <v>-2.492088288366112E-4</v>
      </c>
      <c r="H57" s="241">
        <v>-2.479643440578272E-6</v>
      </c>
      <c r="I57" s="241">
        <v>-6.938512903392388E-4</v>
      </c>
      <c r="J57" s="241">
        <v>0.0012128078726541351</v>
      </c>
      <c r="K57" s="241">
        <v>0.0022323495395052038</v>
      </c>
    </row>
    <row r="58">
      <c r="A58" s="240">
        <v>43560.97554396991</v>
      </c>
      <c r="B58" s="294">
        <v>4.1521</v>
      </c>
      <c r="C58" s="295">
        <v>48.867</v>
      </c>
      <c r="D58" s="295">
        <v>174.63</v>
      </c>
      <c r="E58" s="295">
        <v>109.94</v>
      </c>
      <c r="F58" s="288">
        <v>7.462</v>
      </c>
      <c r="G58" s="241">
        <v>-0.002256524667970846</v>
      </c>
      <c r="H58" s="241">
        <v>0.0021954321134480814</v>
      </c>
      <c r="I58" s="241">
        <v>-0.0014178578783235658</v>
      </c>
      <c r="J58" s="241">
        <v>-5.812066824687859E-4</v>
      </c>
      <c r="K58" s="241">
        <v>0.0011619178074986358</v>
      </c>
    </row>
    <row r="59">
      <c r="A59" s="240">
        <v>43559.97564106481</v>
      </c>
      <c r="B59" s="294">
        <v>4.1431</v>
      </c>
      <c r="C59" s="295">
        <v>48.572</v>
      </c>
      <c r="D59" s="295">
        <v>174.46</v>
      </c>
      <c r="E59" s="295">
        <v>109.6</v>
      </c>
      <c r="F59" s="288">
        <v>7.452</v>
      </c>
      <c r="G59" s="241">
        <v>-0.002907280283766448</v>
      </c>
      <c r="H59" s="241">
        <v>0.0017624582238358055</v>
      </c>
      <c r="I59" s="241">
        <v>-6.969447237218374E-4</v>
      </c>
      <c r="J59" s="241">
        <v>-0.0012185976241821939</v>
      </c>
      <c r="K59" s="241">
        <v>0.0010738257869487382</v>
      </c>
    </row>
    <row r="60">
      <c r="A60" s="240">
        <v>43558.97564258102</v>
      </c>
      <c r="B60" s="294">
        <v>4.1321</v>
      </c>
      <c r="C60" s="295">
        <v>48.682</v>
      </c>
      <c r="D60" s="295">
        <v>174.18</v>
      </c>
      <c r="E60" s="295">
        <v>109.59</v>
      </c>
      <c r="F60" s="288">
        <v>7.432</v>
      </c>
      <c r="G60" s="241">
        <v>-0.007054551275438858</v>
      </c>
      <c r="H60" s="241">
        <v>0.006249801543271112</v>
      </c>
      <c r="I60" s="241">
        <v>-0.002604769501346138</v>
      </c>
      <c r="J60" s="241">
        <v>-0.0018247688252438499</v>
      </c>
      <c r="K60" s="241">
        <v>0.0022434727192017037</v>
      </c>
    </row>
    <row r="61">
      <c r="A61" s="240">
        <v>43526.0</v>
      </c>
      <c r="B61" s="294">
        <v>4.18</v>
      </c>
      <c r="C61" s="295">
        <v>48.545</v>
      </c>
      <c r="D61" s="295">
        <v>175.37</v>
      </c>
      <c r="E61" s="295">
        <v>110.13</v>
      </c>
      <c r="F61" s="288">
        <v>7.436</v>
      </c>
      <c r="G61" s="241">
        <v>-0.0032</v>
      </c>
      <c r="H61" s="241">
        <v>0.0053</v>
      </c>
      <c r="I61" s="241">
        <v>-3.0E-4</v>
      </c>
      <c r="J61" s="241">
        <v>-2.0E-4</v>
      </c>
      <c r="K61" s="241">
        <v>0.0024</v>
      </c>
    </row>
    <row r="62">
      <c r="A62" s="240">
        <v>43556.9756159838</v>
      </c>
      <c r="B62" s="294">
        <v>4.1791</v>
      </c>
      <c r="C62" s="295">
        <v>48.315</v>
      </c>
      <c r="D62" s="295">
        <v>174.82</v>
      </c>
      <c r="E62" s="295">
        <v>110.0</v>
      </c>
      <c r="F62" s="288">
        <v>7.428</v>
      </c>
      <c r="G62" s="241">
        <v>-0.0024726044688401227</v>
      </c>
      <c r="H62" s="241">
        <v>0.006566422757664429</v>
      </c>
      <c r="I62" s="241">
        <v>-0.0014120656188270815</v>
      </c>
      <c r="J62" s="241">
        <v>-0.0035337252649069173</v>
      </c>
      <c r="K62" s="241">
        <v>0.0026058441078449603</v>
      </c>
    </row>
    <row r="63">
      <c r="A63" s="240">
        <v>43553.97584701389</v>
      </c>
      <c r="B63" s="294">
        <v>4.22</v>
      </c>
      <c r="C63" s="295">
        <v>47.774</v>
      </c>
      <c r="D63" s="295">
        <v>175.54</v>
      </c>
      <c r="E63" s="295">
        <v>110.19</v>
      </c>
      <c r="F63" s="288">
        <v>7.382</v>
      </c>
      <c r="G63" s="241">
        <v>0.00490684224553702</v>
      </c>
      <c r="H63" s="241">
        <v>0.0020176689655905613</v>
      </c>
      <c r="I63" s="241">
        <v>0.0022581852094027965</v>
      </c>
      <c r="J63" s="241">
        <v>-0.002897994077538472</v>
      </c>
      <c r="K63" s="241">
        <v>-7.700409452758109E-4</v>
      </c>
    </row>
    <row r="64">
      <c r="A64" s="240">
        <v>43552.97569547454</v>
      </c>
      <c r="B64" s="294">
        <v>4.2211</v>
      </c>
      <c r="C64" s="295">
        <v>47.389</v>
      </c>
      <c r="D64" s="295">
        <v>175.89</v>
      </c>
      <c r="E64" s="295">
        <v>109.63</v>
      </c>
      <c r="F64" s="288">
        <v>7.367</v>
      </c>
      <c r="G64" s="241">
        <v>0.005843497597674181</v>
      </c>
      <c r="H64" s="241">
        <v>0.0020972539854902474</v>
      </c>
      <c r="I64" s="241">
        <v>0.003362529576878622</v>
      </c>
      <c r="J64" s="241">
        <v>-0.005761733578233137</v>
      </c>
      <c r="K64" s="241">
        <v>-2.3098357194384356E-4</v>
      </c>
    </row>
    <row r="65">
      <c r="A65" s="240">
        <v>43551.975784270835</v>
      </c>
      <c r="B65" s="294">
        <v>4.21</v>
      </c>
      <c r="C65" s="295">
        <v>47.368</v>
      </c>
      <c r="D65" s="295">
        <v>175.56</v>
      </c>
      <c r="E65" s="295">
        <v>111.16</v>
      </c>
      <c r="F65" s="288">
        <v>7.37</v>
      </c>
      <c r="G65" s="241">
        <v>0.004677610932322736</v>
      </c>
      <c r="H65" s="241">
        <v>-3.1562561312825643E-4</v>
      </c>
      <c r="I65" s="241">
        <v>0.002794570363914358</v>
      </c>
      <c r="J65" s="241">
        <v>5.938552453162993E-4</v>
      </c>
      <c r="K65" s="241">
        <v>4.473504896840286E-4</v>
      </c>
    </row>
    <row r="66">
      <c r="A66" s="240">
        <v>43550.97580263889</v>
      </c>
      <c r="B66" s="294">
        <v>4.158</v>
      </c>
      <c r="C66" s="295">
        <v>47.484</v>
      </c>
      <c r="D66" s="295">
        <v>174.35</v>
      </c>
      <c r="E66" s="295">
        <v>111.14</v>
      </c>
      <c r="F66" s="288">
        <v>7.399</v>
      </c>
      <c r="G66" s="241">
        <v>0.00706488637539963</v>
      </c>
      <c r="H66" s="241">
        <v>-0.0014328100731747506</v>
      </c>
      <c r="I66" s="241">
        <v>0.00417341957782158</v>
      </c>
      <c r="J66" s="241">
        <v>0.004288988579151202</v>
      </c>
      <c r="K66" s="241">
        <v>0.0013060756386427859</v>
      </c>
    </row>
    <row r="67">
      <c r="A67" s="240">
        <v>43549.9760040625</v>
      </c>
      <c r="B67" s="294">
        <v>4.1474</v>
      </c>
      <c r="C67" s="295">
        <v>47.09</v>
      </c>
      <c r="D67" s="295">
        <v>174.12</v>
      </c>
      <c r="E67" s="295">
        <v>111.53</v>
      </c>
      <c r="F67" s="288">
        <v>7.372</v>
      </c>
      <c r="G67" s="241">
        <v>0.009163521807368458</v>
      </c>
      <c r="H67" s="241">
        <v>-8.712624438841724E-4</v>
      </c>
      <c r="I67" s="241">
        <v>0.005553597743764145</v>
      </c>
      <c r="J67" s="241">
        <v>0.006400561528073408</v>
      </c>
      <c r="K67" s="241">
        <v>8.969504667092713E-5</v>
      </c>
    </row>
    <row r="68">
      <c r="A68" s="240">
        <v>43546.97561252315</v>
      </c>
      <c r="B68" s="294">
        <v>4.151</v>
      </c>
      <c r="C68" s="295">
        <v>47.41</v>
      </c>
      <c r="D68" s="295">
        <v>174.09</v>
      </c>
      <c r="E68" s="295">
        <v>110.96</v>
      </c>
      <c r="F68" s="288">
        <v>7.36</v>
      </c>
      <c r="G68" s="241">
        <v>0.010774955227212205</v>
      </c>
      <c r="H68" s="241">
        <v>-0.0026660567679895517</v>
      </c>
      <c r="I68" s="241">
        <v>0.006216444854785082</v>
      </c>
      <c r="J68" s="241">
        <v>0.0032649303894587423</v>
      </c>
      <c r="K68" s="241">
        <v>-6.145163509903758E-7</v>
      </c>
    </row>
    <row r="69">
      <c r="A69" s="240">
        <v>43545.975588726855</v>
      </c>
      <c r="B69" s="294">
        <v>4.07</v>
      </c>
      <c r="C69" s="295">
        <v>47.685</v>
      </c>
      <c r="D69" s="295">
        <v>172.17</v>
      </c>
      <c r="E69" s="295">
        <v>109.71</v>
      </c>
      <c r="F69" s="288">
        <v>7.37</v>
      </c>
      <c r="G69" s="241">
        <v>0.0028601782441531887</v>
      </c>
      <c r="H69" s="241">
        <v>0.0015973603698940704</v>
      </c>
      <c r="I69" s="241">
        <v>0.0014671822102119148</v>
      </c>
      <c r="J69" s="241">
        <v>-5.50854326685779E-4</v>
      </c>
      <c r="K69" s="241">
        <v>9.051825850982335E-4</v>
      </c>
    </row>
    <row r="70">
      <c r="A70" s="240">
        <v>43544.975511666664</v>
      </c>
      <c r="B70" s="294">
        <v>4.034</v>
      </c>
      <c r="C70" s="295">
        <v>47.209</v>
      </c>
      <c r="D70" s="295">
        <v>171.23</v>
      </c>
      <c r="E70" s="295">
        <v>109.4</v>
      </c>
      <c r="F70" s="288">
        <v>7.37</v>
      </c>
      <c r="G70" s="241">
        <v>5.726592280096051E-4</v>
      </c>
      <c r="H70" s="241">
        <v>-0.002432525045970394</v>
      </c>
      <c r="I70" s="241">
        <v>-4.69403778093828E-4</v>
      </c>
      <c r="J70" s="241">
        <v>-0.0011590643962028728</v>
      </c>
      <c r="K70" s="241">
        <v>0.0018122120635563066</v>
      </c>
    </row>
    <row r="71">
      <c r="A71" s="240">
        <v>43543.97553142361</v>
      </c>
      <c r="B71" s="294">
        <v>4.018</v>
      </c>
      <c r="C71" s="295">
        <v>47.784</v>
      </c>
      <c r="D71" s="295">
        <v>170.86</v>
      </c>
      <c r="E71" s="295">
        <v>109.87</v>
      </c>
      <c r="F71" s="288">
        <v>7.36</v>
      </c>
      <c r="G71" s="241">
        <v>1.6108435887203973E-4</v>
      </c>
      <c r="H71" s="241">
        <v>0.002973386902193805</v>
      </c>
      <c r="I71" s="241">
        <v>-8.00887615329667E-4</v>
      </c>
      <c r="J71" s="241">
        <v>0.0014268120267443656</v>
      </c>
      <c r="K71" s="241">
        <v>0.001359928029182722</v>
      </c>
    </row>
    <row r="72">
      <c r="A72" s="240">
        <v>43542.97552386574</v>
      </c>
      <c r="B72" s="294">
        <v>4.035</v>
      </c>
      <c r="C72" s="295">
        <v>47.45</v>
      </c>
      <c r="D72" s="295">
        <v>171.41</v>
      </c>
      <c r="E72" s="295">
        <v>109.89</v>
      </c>
      <c r="F72" s="288">
        <v>7.35</v>
      </c>
      <c r="G72" s="241">
        <v>-7.526326000716713E-4</v>
      </c>
      <c r="H72" s="241">
        <v>5.941876780034919E-4</v>
      </c>
      <c r="I72" s="241">
        <v>-3.89607581886701E-4</v>
      </c>
      <c r="J72" s="241">
        <v>-0.0017117789411309852</v>
      </c>
      <c r="K72" s="241">
        <v>9.070294784580361E-4</v>
      </c>
    </row>
    <row r="73">
      <c r="A73" s="240">
        <v>43539.97556614583</v>
      </c>
      <c r="B73" s="294">
        <v>4.027</v>
      </c>
      <c r="C73" s="295">
        <v>47.55</v>
      </c>
      <c r="D73" s="295">
        <v>171.47</v>
      </c>
      <c r="E73" s="295">
        <v>109.78</v>
      </c>
      <c r="F73" s="288">
        <v>7.33</v>
      </c>
      <c r="G73" s="241">
        <v>-0.001001383330880364</v>
      </c>
      <c r="H73" s="241">
        <v>0.003203856308619968</v>
      </c>
      <c r="I73" s="241">
        <v>-2.1465661247122014E-4</v>
      </c>
      <c r="J73" s="241">
        <v>1.2748298565168348E-4</v>
      </c>
      <c r="K73" s="241">
        <v>0.0018190086402910903</v>
      </c>
    </row>
    <row r="74">
      <c r="A74" s="240">
        <v>43538.96140621528</v>
      </c>
      <c r="B74" s="294">
        <v>4.016</v>
      </c>
      <c r="C74" s="295">
        <v>47.358</v>
      </c>
      <c r="D74" s="295">
        <v>171.27</v>
      </c>
      <c r="E74" s="295">
        <v>109.4</v>
      </c>
      <c r="F74" s="288">
        <v>7.33</v>
      </c>
      <c r="G74" s="241">
        <v>-0.0026546620915869714</v>
      </c>
      <c r="H74" s="241">
        <v>0.0024453822059716432</v>
      </c>
      <c r="I74" s="241">
        <v>-0.0018467976979258023</v>
      </c>
      <c r="J74" s="241">
        <v>-0.0013604933398151757</v>
      </c>
      <c r="K74" s="241">
        <v>0.002733503381946297</v>
      </c>
    </row>
    <row r="75">
      <c r="A75" s="240">
        <v>43537.97555106481</v>
      </c>
      <c r="B75" s="294">
        <v>4.044</v>
      </c>
      <c r="C75" s="295">
        <v>47.365</v>
      </c>
      <c r="D75" s="295">
        <v>171.61</v>
      </c>
      <c r="E75" s="295">
        <v>110.45</v>
      </c>
      <c r="F75" s="288">
        <v>7.33</v>
      </c>
      <c r="G75" s="241">
        <v>-8.358933386946414E-5</v>
      </c>
      <c r="H75" s="241">
        <v>0.007812556624918124</v>
      </c>
      <c r="I75" s="241">
        <v>-0.0010495888736807106</v>
      </c>
      <c r="J75" s="241">
        <v>2.607224732914896E-4</v>
      </c>
      <c r="K75" s="241">
        <v>0.0027335033819462598</v>
      </c>
    </row>
    <row r="76">
      <c r="A76" s="240">
        <v>43536.97556723379</v>
      </c>
      <c r="B76" s="294">
        <v>4.039</v>
      </c>
      <c r="C76" s="295">
        <v>47.094</v>
      </c>
      <c r="D76" s="295">
        <v>171.58</v>
      </c>
      <c r="E76" s="295">
        <v>109.73</v>
      </c>
      <c r="F76" s="288">
        <v>7.29</v>
      </c>
      <c r="G76" s="241">
        <v>-5.781287981961499E-4</v>
      </c>
      <c r="H76" s="241">
        <v>0.002698937254122624</v>
      </c>
      <c r="I76" s="241">
        <v>-0.001107860536171253</v>
      </c>
      <c r="J76" s="241">
        <v>0.0011384157522884575</v>
      </c>
      <c r="K76" s="241">
        <v>-9.195263495873259E-4</v>
      </c>
    </row>
    <row r="77">
      <c r="A77" s="240">
        <v>43535.97564613426</v>
      </c>
      <c r="B77" s="294">
        <v>4.048</v>
      </c>
      <c r="C77" s="295">
        <v>47.011</v>
      </c>
      <c r="D77" s="295">
        <v>172.22</v>
      </c>
      <c r="E77" s="295">
        <v>109.84</v>
      </c>
      <c r="F77" s="288">
        <v>7.27</v>
      </c>
      <c r="G77" s="241">
        <v>0.004860625355723587</v>
      </c>
      <c r="H77" s="241">
        <v>0.0019615860490075354</v>
      </c>
      <c r="I77" s="241">
        <v>0.003833810723245216</v>
      </c>
      <c r="J77" s="241">
        <v>0.0040331545572805565</v>
      </c>
      <c r="K77" s="241">
        <v>-4.6603203515505065E-4</v>
      </c>
    </row>
    <row r="78">
      <c r="A78" s="240">
        <v>43532.998715277776</v>
      </c>
      <c r="B78" s="294">
        <v>4.045</v>
      </c>
      <c r="C78" s="295">
        <v>46.261</v>
      </c>
      <c r="D78" s="295">
        <v>172.15</v>
      </c>
      <c r="E78" s="295">
        <v>110.36</v>
      </c>
      <c r="F78" s="288">
        <v>7.27</v>
      </c>
      <c r="G78" s="241">
        <v>0.00636841555347097</v>
      </c>
      <c r="H78" s="241">
        <v>-0.005439339508087467</v>
      </c>
      <c r="I78" s="241">
        <v>0.00452069352512859</v>
      </c>
      <c r="J78" s="241">
        <v>0.0056726457526463285</v>
      </c>
      <c r="K78" s="241">
        <v>-0.0018396584087814194</v>
      </c>
    </row>
    <row r="79">
      <c r="A79" s="240">
        <v>43531.97566297454</v>
      </c>
      <c r="B79" s="294">
        <v>4.046</v>
      </c>
      <c r="C79" s="295">
        <v>46.706</v>
      </c>
      <c r="D79" s="295">
        <v>172.15</v>
      </c>
      <c r="E79" s="295">
        <v>109.35</v>
      </c>
      <c r="F79" s="288">
        <v>7.31</v>
      </c>
      <c r="G79" s="241">
        <v>0.006534827192690977</v>
      </c>
      <c r="H79" s="241">
        <v>-0.0015310509792991756</v>
      </c>
      <c r="I79" s="241">
        <v>0.004874008800125673</v>
      </c>
      <c r="J79" s="241">
        <v>0.002468399556610638</v>
      </c>
      <c r="K79" s="241">
        <v>0.001362351738548669</v>
      </c>
    </row>
    <row r="80">
      <c r="A80" s="240">
        <v>43530.97587299769</v>
      </c>
      <c r="B80" s="294">
        <v>3.989</v>
      </c>
      <c r="C80" s="295">
        <v>46.727</v>
      </c>
      <c r="D80" s="295">
        <v>170.24</v>
      </c>
      <c r="E80" s="295">
        <v>108.51</v>
      </c>
      <c r="F80" s="288">
        <v>7.28</v>
      </c>
      <c r="G80" s="241">
        <v>0.004863787033273985</v>
      </c>
      <c r="H80" s="241">
        <v>3.4516540959828035E-4</v>
      </c>
      <c r="I80" s="241">
        <v>0.0031995774318038053</v>
      </c>
      <c r="J80" s="241">
        <v>-0.0026104585533879656</v>
      </c>
      <c r="K80" s="241">
        <v>0.0018258645139629752</v>
      </c>
    </row>
    <row r="81">
      <c r="A81" s="240">
        <v>43529.97564774306</v>
      </c>
      <c r="B81" s="294">
        <v>3.968</v>
      </c>
      <c r="C81" s="295">
        <v>47.019</v>
      </c>
      <c r="D81" s="295">
        <v>169.82</v>
      </c>
      <c r="E81" s="295">
        <v>108.49</v>
      </c>
      <c r="F81" s="288">
        <v>7.31</v>
      </c>
      <c r="G81" s="241">
        <v>0.002091408476853296</v>
      </c>
      <c r="H81" s="241">
        <v>0.002742402784282986</v>
      </c>
      <c r="I81" s="241">
        <v>0.002139975157480397</v>
      </c>
      <c r="J81" s="241">
        <v>-0.005506571292927864</v>
      </c>
      <c r="K81" s="241">
        <v>8.97465104900593E-4</v>
      </c>
    </row>
    <row r="82">
      <c r="A82" s="240">
        <v>43528.975770000005</v>
      </c>
      <c r="B82" s="294">
        <v>3.967</v>
      </c>
      <c r="C82" s="295">
        <v>46.92</v>
      </c>
      <c r="D82" s="295">
        <v>169.64</v>
      </c>
      <c r="E82" s="295">
        <v>108.54</v>
      </c>
      <c r="F82" s="288">
        <v>7.28</v>
      </c>
      <c r="G82" s="241">
        <v>-6.978128940803666E-4</v>
      </c>
      <c r="H82" s="241">
        <v>0.0023264794058258285</v>
      </c>
      <c r="I82" s="241">
        <v>2.654919415915706E-4</v>
      </c>
      <c r="J82" s="241">
        <v>-0.00713612498608344</v>
      </c>
      <c r="K82" s="241">
        <v>-0.0022995134344974133</v>
      </c>
    </row>
    <row r="83">
      <c r="A83" s="240">
        <v>43525.97552253472</v>
      </c>
      <c r="B83" s="294">
        <v>3.931</v>
      </c>
      <c r="C83" s="295">
        <v>46.677</v>
      </c>
      <c r="D83" s="295">
        <v>168.61</v>
      </c>
      <c r="E83" s="295">
        <v>109.36</v>
      </c>
      <c r="F83" s="288">
        <v>7.24</v>
      </c>
      <c r="G83" s="241">
        <v>-0.006238492050580617</v>
      </c>
      <c r="H83" s="241">
        <v>-0.0012456341291151214</v>
      </c>
      <c r="I83" s="241">
        <v>-0.0025843604962273816</v>
      </c>
      <c r="J83" s="241">
        <v>-0.006331416366283686</v>
      </c>
      <c r="K83" s="241">
        <v>-0.0018572544656354495</v>
      </c>
    </row>
    <row r="84">
      <c r="A84" s="240">
        <v>43524.97552314815</v>
      </c>
      <c r="B84" s="294">
        <v>3.943</v>
      </c>
      <c r="C84" s="295">
        <v>46.633</v>
      </c>
      <c r="D84" s="295">
        <v>168.73</v>
      </c>
      <c r="E84" s="295">
        <v>110.29</v>
      </c>
      <c r="F84" s="288">
        <v>7.29</v>
      </c>
      <c r="G84" s="241">
        <v>-0.0042221877044805</v>
      </c>
      <c r="H84" s="241">
        <v>-0.003210473163671179</v>
      </c>
      <c r="I84" s="241">
        <v>-0.0018763168501129506</v>
      </c>
      <c r="J84" s="241">
        <v>-0.004065008682943905</v>
      </c>
      <c r="K84" s="241">
        <v>-4.70979598697611E-4</v>
      </c>
    </row>
    <row r="85">
      <c r="A85" s="240">
        <v>43523.975563217595</v>
      </c>
      <c r="B85" s="294">
        <v>3.975</v>
      </c>
      <c r="C85" s="295">
        <v>46.593</v>
      </c>
      <c r="D85" s="295">
        <v>169.5</v>
      </c>
      <c r="E85" s="295">
        <v>110.88</v>
      </c>
      <c r="F85" s="288">
        <v>7.33</v>
      </c>
      <c r="G85" s="241">
        <v>-0.003603957267950856</v>
      </c>
      <c r="H85" s="241">
        <v>-0.001641513332110674</v>
      </c>
      <c r="I85" s="241">
        <v>-0.0012588107039720835</v>
      </c>
      <c r="J85" s="241">
        <v>-0.0033865724306554323</v>
      </c>
      <c r="K85" s="241">
        <v>-0.0018383371473506365</v>
      </c>
    </row>
    <row r="86">
      <c r="A86" s="240">
        <v>43522.975535011574</v>
      </c>
      <c r="B86" s="294">
        <v>4.005</v>
      </c>
      <c r="C86" s="295">
        <v>46.851</v>
      </c>
      <c r="D86" s="295">
        <v>169.92</v>
      </c>
      <c r="E86" s="295">
        <v>111.45</v>
      </c>
      <c r="F86" s="288">
        <v>7.28</v>
      </c>
      <c r="G86" s="241">
        <v>8.198463077822016E-4</v>
      </c>
      <c r="H86" s="241">
        <v>0.002105113945133722</v>
      </c>
      <c r="I86" s="241">
        <v>2.724495144910133E-4</v>
      </c>
      <c r="J86" s="241">
        <v>-0.0020896376846982387</v>
      </c>
      <c r="K86" s="241">
        <v>-0.0032075298789671822</v>
      </c>
    </row>
    <row r="87">
      <c r="A87" s="240">
        <v>43521.9755272801</v>
      </c>
      <c r="B87" s="294">
        <v>3.993</v>
      </c>
      <c r="C87" s="295">
        <v>47.083</v>
      </c>
      <c r="D87" s="295">
        <v>169.68</v>
      </c>
      <c r="E87" s="295">
        <v>111.64</v>
      </c>
      <c r="F87" s="288">
        <v>7.3</v>
      </c>
      <c r="G87" s="241">
        <v>-0.0015973449690791508</v>
      </c>
      <c r="H87" s="241">
        <v>0.0036268542538722137</v>
      </c>
      <c r="I87" s="241">
        <v>-3.9469278708940497E-4</v>
      </c>
      <c r="J87" s="241">
        <v>-0.00404774926070887</v>
      </c>
      <c r="K87" s="241">
        <v>-9.312347455291784E-4</v>
      </c>
    </row>
    <row r="88">
      <c r="A88" s="240">
        <v>43518.97556290509</v>
      </c>
      <c r="B88" s="294">
        <v>4.018</v>
      </c>
      <c r="C88" s="295">
        <v>46.821</v>
      </c>
      <c r="D88" s="295">
        <v>170.14</v>
      </c>
      <c r="E88" s="295">
        <v>112.01</v>
      </c>
      <c r="F88" s="288">
        <v>7.37</v>
      </c>
      <c r="G88" s="241">
        <v>-0.0018367136815409986</v>
      </c>
      <c r="H88" s="241">
        <v>0.0017648164889463673</v>
      </c>
      <c r="I88" s="241">
        <v>-6.683326170147849E-4</v>
      </c>
      <c r="J88" s="241">
        <v>-0.002146547652928321</v>
      </c>
      <c r="K88" s="241">
        <v>0.0036312325050135152</v>
      </c>
    </row>
    <row r="89">
      <c r="A89" s="240">
        <v>43517.97554945602</v>
      </c>
      <c r="B89" s="294">
        <v>3.995</v>
      </c>
      <c r="C89" s="295">
        <v>46.554</v>
      </c>
      <c r="D89" s="295">
        <v>169.78</v>
      </c>
      <c r="E89" s="295">
        <v>112.15</v>
      </c>
      <c r="F89" s="288">
        <v>7.35</v>
      </c>
      <c r="G89" s="241">
        <v>-0.0037447939868338054</v>
      </c>
      <c r="H89" s="241">
        <v>-7.730327856600994E-4</v>
      </c>
      <c r="I89" s="241">
        <v>-0.0011390025050696344</v>
      </c>
      <c r="J89" s="241">
        <v>5.173392735036142E-4</v>
      </c>
      <c r="K89" s="241">
        <v>0.0018121696946110655</v>
      </c>
    </row>
    <row r="90">
      <c r="A90" s="240">
        <v>43516.97557607639</v>
      </c>
      <c r="B90" s="294">
        <v>4.012</v>
      </c>
      <c r="C90" s="295">
        <v>46.572</v>
      </c>
      <c r="D90" s="295">
        <v>169.88</v>
      </c>
      <c r="E90" s="295">
        <v>113.0</v>
      </c>
      <c r="F90" s="288">
        <v>7.32</v>
      </c>
      <c r="G90" s="241">
        <v>-0.00348146978207294</v>
      </c>
      <c r="H90" s="241">
        <v>-7.513037701978309E-4</v>
      </c>
      <c r="I90" s="241">
        <v>-0.0023318849920281512</v>
      </c>
      <c r="J90" s="241">
        <v>0.0043833621834627285</v>
      </c>
      <c r="K90" s="241">
        <v>0.0018196145330115672</v>
      </c>
    </row>
    <row r="91">
      <c r="A91" s="240">
        <v>43515.975523009256</v>
      </c>
      <c r="B91" s="294">
        <v>4.04</v>
      </c>
      <c r="C91" s="295">
        <v>46.573</v>
      </c>
      <c r="D91" s="295">
        <v>170.48</v>
      </c>
      <c r="E91" s="295">
        <v>112.73</v>
      </c>
      <c r="F91" s="288">
        <v>7.29</v>
      </c>
      <c r="G91" s="241">
        <v>-3.3288232621978925E-4</v>
      </c>
      <c r="H91" s="241">
        <v>0.0031121425707806663</v>
      </c>
      <c r="I91" s="241">
        <v>-9.402461564636347E-4</v>
      </c>
      <c r="J91" s="241">
        <v>0.005111292250374026</v>
      </c>
      <c r="K91" s="241">
        <v>0.003658622519560506</v>
      </c>
    </row>
    <row r="92">
      <c r="A92" s="240">
        <v>43514.975680069445</v>
      </c>
      <c r="B92" s="294">
        <v>4.04</v>
      </c>
      <c r="C92" s="295">
        <v>46.662</v>
      </c>
      <c r="D92" s="295">
        <v>170.36</v>
      </c>
      <c r="E92" s="295">
        <v>111.97</v>
      </c>
      <c r="F92" s="288">
        <v>7.31</v>
      </c>
      <c r="G92" s="241">
        <v>0.0012332238392928445</v>
      </c>
      <c r="H92" s="241">
        <v>0.0026076076233395953</v>
      </c>
      <c r="I92" s="241">
        <v>-5.0134890653049285E-6</v>
      </c>
      <c r="J92" s="241">
        <v>0.0025037068931617057</v>
      </c>
      <c r="K92" s="241">
        <v>0.0036484755598749827</v>
      </c>
    </row>
    <row r="93">
      <c r="A93" s="240">
        <v>43511.97552689815</v>
      </c>
      <c r="B93" s="294">
        <v>4.054</v>
      </c>
      <c r="C93" s="295">
        <v>46.677</v>
      </c>
      <c r="D93" s="295">
        <v>171.07</v>
      </c>
      <c r="E93" s="295">
        <v>111.52</v>
      </c>
      <c r="F93" s="288">
        <v>7.28</v>
      </c>
      <c r="G93" s="241">
        <v>0.0029680494957716</v>
      </c>
      <c r="H93" s="241">
        <v>0.004565213008490554</v>
      </c>
      <c r="I93" s="241">
        <v>0.001990760166722357</v>
      </c>
      <c r="J93" s="241">
        <v>0.002753792091458096</v>
      </c>
      <c r="K93" s="241">
        <v>0.003663612368241161</v>
      </c>
    </row>
    <row r="94">
      <c r="A94" s="240">
        <v>43510.97556413195</v>
      </c>
      <c r="B94" s="294">
        <v>4.044</v>
      </c>
      <c r="C94" s="295">
        <v>46.137</v>
      </c>
      <c r="D94" s="295">
        <v>170.96</v>
      </c>
      <c r="E94" s="295">
        <v>111.01</v>
      </c>
      <c r="F94" s="288">
        <v>7.21</v>
      </c>
      <c r="G94" s="241">
        <v>-8.40744167409461E-4</v>
      </c>
      <c r="H94" s="241">
        <v>0.0038657365321384716</v>
      </c>
      <c r="I94" s="241">
        <v>1.223595201168178E-5</v>
      </c>
      <c r="J94" s="241">
        <v>4.457972664827133E-4</v>
      </c>
      <c r="K94" s="241">
        <v>0.0013844100890388529</v>
      </c>
    </row>
    <row r="95">
      <c r="A95" s="240">
        <v>43509.97554712963</v>
      </c>
      <c r="B95" s="294">
        <v>4.025</v>
      </c>
      <c r="C95" s="295">
        <v>46.295</v>
      </c>
      <c r="D95" s="295">
        <v>170.36</v>
      </c>
      <c r="E95" s="295">
        <v>111.13</v>
      </c>
      <c r="F95" s="288">
        <v>7.23</v>
      </c>
      <c r="G95" s="241">
        <v>-0.0015023938290575911</v>
      </c>
      <c r="H95" s="241">
        <v>0.00921760595256708</v>
      </c>
      <c r="I95" s="241">
        <v>-5.14165342852646E-4</v>
      </c>
      <c r="J95" s="241">
        <v>9.564649327456302E-4</v>
      </c>
      <c r="K95" s="241">
        <v>0.0018447992369905464</v>
      </c>
    </row>
    <row r="96">
      <c r="A96" s="240">
        <v>43508.97556262731</v>
      </c>
      <c r="B96" s="294">
        <v>4.018</v>
      </c>
      <c r="C96" s="295">
        <v>46.038</v>
      </c>
      <c r="D96" s="295">
        <v>170.05</v>
      </c>
      <c r="E96" s="295">
        <v>110.6</v>
      </c>
      <c r="F96" s="288">
        <v>7.2</v>
      </c>
      <c r="G96" s="241">
        <v>8.035419984774675E-4</v>
      </c>
      <c r="H96" s="241">
        <v>0.007500410480697088</v>
      </c>
      <c r="I96" s="241">
        <v>5.398863201901971E-4</v>
      </c>
      <c r="J96" s="241">
        <v>0.001231789483947754</v>
      </c>
      <c r="K96" s="241">
        <v>0.00138888709529994</v>
      </c>
    </row>
    <row r="97">
      <c r="A97" s="240">
        <v>43507.975571319446</v>
      </c>
      <c r="B97" s="294">
        <v>4.054</v>
      </c>
      <c r="C97" s="295">
        <v>45.602</v>
      </c>
      <c r="D97" s="295">
        <v>170.95</v>
      </c>
      <c r="E97" s="295">
        <v>110.86</v>
      </c>
      <c r="F97" s="288">
        <v>7.18</v>
      </c>
      <c r="G97" s="241">
        <v>0.005536609462355087</v>
      </c>
      <c r="H97" s="241">
        <v>-5.5619924351953585E-5</v>
      </c>
      <c r="I97" s="241">
        <v>0.003796288281504171</v>
      </c>
      <c r="J97" s="241">
        <v>0.002257400296681126</v>
      </c>
      <c r="K97" s="241">
        <v>-0.0032562392025460296</v>
      </c>
    </row>
    <row r="98">
      <c r="A98" s="240">
        <v>43504.97553083333</v>
      </c>
      <c r="B98" s="294">
        <v>4.043</v>
      </c>
      <c r="C98" s="295">
        <v>45.026</v>
      </c>
      <c r="D98" s="295">
        <v>170.62</v>
      </c>
      <c r="E98" s="295">
        <v>110.81</v>
      </c>
      <c r="F98" s="288">
        <v>7.19</v>
      </c>
      <c r="G98" s="241">
        <v>0.005468203455940679</v>
      </c>
      <c r="H98" s="241">
        <v>-0.003418045548959007</v>
      </c>
      <c r="I98" s="241">
        <v>0.0041389602233323775</v>
      </c>
      <c r="J98" s="241">
        <v>0.002258424316533151</v>
      </c>
      <c r="K98" s="241">
        <v>-0.00187244641927183</v>
      </c>
    </row>
    <row r="99">
      <c r="A99" s="240">
        <v>43503.97551042824</v>
      </c>
      <c r="B99" s="294">
        <v>4.008</v>
      </c>
      <c r="C99" s="295">
        <v>45.008</v>
      </c>
      <c r="D99" s="295">
        <v>169.77</v>
      </c>
      <c r="E99" s="295">
        <v>110.19</v>
      </c>
      <c r="F99" s="288">
        <v>7.17</v>
      </c>
      <c r="G99" s="241">
        <v>0.005935168329174105</v>
      </c>
      <c r="H99" s="241">
        <v>-5.393861354419105E-4</v>
      </c>
      <c r="I99" s="241">
        <v>0.003981722598157693</v>
      </c>
      <c r="J99" s="241">
        <v>0.001059673247929845</v>
      </c>
      <c r="K99" s="241">
        <v>-0.0018775762323991845</v>
      </c>
    </row>
    <row r="100">
      <c r="A100" s="240">
        <v>43502.97551524306</v>
      </c>
      <c r="B100" s="294">
        <v>3.987</v>
      </c>
      <c r="C100" s="295">
        <v>45.602</v>
      </c>
      <c r="D100" s="295">
        <v>169.01</v>
      </c>
      <c r="E100" s="295">
        <v>110.11</v>
      </c>
      <c r="F100" s="288">
        <v>7.25</v>
      </c>
      <c r="G100" s="241">
        <v>0.003426659819143104</v>
      </c>
      <c r="H100" s="241">
        <v>0.00562725644397218</v>
      </c>
      <c r="I100" s="241">
        <v>0.0030657619874122632</v>
      </c>
      <c r="J100" s="241">
        <v>0.0013335689342106234</v>
      </c>
      <c r="K100" s="241">
        <v>0.0027662658408615557</v>
      </c>
    </row>
    <row r="101">
      <c r="A101" s="240">
        <v>43501.97556668981</v>
      </c>
      <c r="B101" s="294">
        <v>3.977</v>
      </c>
      <c r="C101" s="295">
        <v>45.486</v>
      </c>
      <c r="D101" s="295">
        <v>168.51</v>
      </c>
      <c r="E101" s="295">
        <v>110.06</v>
      </c>
      <c r="F101" s="288">
        <v>7.23</v>
      </c>
      <c r="G101" s="241">
        <v>2.253449189222693E-4</v>
      </c>
      <c r="H101" s="241">
        <v>0.00541870759208396</v>
      </c>
      <c r="I101" s="241">
        <v>2.0853345021646744E-4</v>
      </c>
      <c r="J101" s="241">
        <v>-4.28688139435122E-4</v>
      </c>
      <c r="K101" s="241">
        <v>4.5590502683186723E-4</v>
      </c>
    </row>
    <row r="102">
      <c r="A102" s="240">
        <v>43500.97551991898</v>
      </c>
      <c r="B102" s="294">
        <v>3.937</v>
      </c>
      <c r="C102" s="295">
        <v>45.075</v>
      </c>
      <c r="D102" s="295">
        <v>167.75</v>
      </c>
      <c r="E102" s="295">
        <v>109.84</v>
      </c>
      <c r="F102" s="288">
        <v>7.21</v>
      </c>
      <c r="G102" s="241">
        <v>-0.0013658165055356886</v>
      </c>
      <c r="H102" s="241">
        <v>0.006444035785644527</v>
      </c>
      <c r="I102" s="241">
        <v>5.116233578724335E-5</v>
      </c>
      <c r="J102" s="241">
        <v>5.08154427546185E-4</v>
      </c>
      <c r="K102" s="241">
        <v>-4.4983657218056194E-6</v>
      </c>
    </row>
    <row r="103">
      <c r="A103" s="240">
        <v>43497.97557833334</v>
      </c>
      <c r="B103" s="294">
        <v>3.946</v>
      </c>
      <c r="C103" s="295">
        <v>44.836</v>
      </c>
      <c r="D103" s="295">
        <v>167.46</v>
      </c>
      <c r="E103" s="295">
        <v>109.67</v>
      </c>
      <c r="F103" s="288">
        <v>7.19</v>
      </c>
      <c r="G103" s="241">
        <v>1.5510229648400356E-4</v>
      </c>
      <c r="H103" s="241">
        <v>0.0077605175049970665</v>
      </c>
      <c r="I103" s="241">
        <v>-3.859712541420072E-4</v>
      </c>
      <c r="J103" s="241">
        <v>7.52107833151309E-4</v>
      </c>
      <c r="K103" s="241">
        <v>0.0018447850369596914</v>
      </c>
    </row>
    <row r="104">
      <c r="A104" s="240">
        <v>43496.975524027774</v>
      </c>
      <c r="B104" s="294">
        <v>3.974</v>
      </c>
      <c r="C104" s="295">
        <v>44.75</v>
      </c>
      <c r="D104" s="295">
        <v>168.4</v>
      </c>
      <c r="E104" s="295">
        <v>110.2</v>
      </c>
      <c r="F104" s="288">
        <v>7.22</v>
      </c>
      <c r="G104" s="241">
        <v>0.002435850134008007</v>
      </c>
      <c r="H104" s="241">
        <v>0.0077832659032253115</v>
      </c>
      <c r="I104" s="241">
        <v>0.0022804300250086986</v>
      </c>
      <c r="J104" s="241">
        <v>0.004312675157941277</v>
      </c>
      <c r="K104" s="241">
        <v>0.0060328084183071855</v>
      </c>
    </row>
    <row r="105">
      <c r="A105" s="240">
        <v>43495.97553278935</v>
      </c>
      <c r="B105" s="294">
        <v>3.953</v>
      </c>
      <c r="C105" s="295">
        <v>44.208</v>
      </c>
      <c r="D105" s="295">
        <v>167.72</v>
      </c>
      <c r="E105" s="295">
        <v>109.67</v>
      </c>
      <c r="F105" s="288">
        <v>7.21</v>
      </c>
      <c r="G105" s="241">
        <v>8.293472206440573E-5</v>
      </c>
      <c r="H105" s="241">
        <v>-0.0013555519831397467</v>
      </c>
      <c r="I105" s="241">
        <v>3.756745493040577E-5</v>
      </c>
      <c r="J105" s="241">
        <v>0.002495029147917771</v>
      </c>
      <c r="K105" s="241">
        <v>-5.407667861280588E-4</v>
      </c>
    </row>
    <row r="106">
      <c r="A106" s="240">
        <v>43494.97551300926</v>
      </c>
      <c r="B106" s="294">
        <v>3.944</v>
      </c>
      <c r="C106" s="295">
        <v>43.799</v>
      </c>
      <c r="D106" s="295">
        <v>167.65</v>
      </c>
      <c r="E106" s="295">
        <v>109.42</v>
      </c>
      <c r="F106" s="288">
        <v>7.15</v>
      </c>
      <c r="G106" s="241">
        <v>-0.0035437288447512185</v>
      </c>
      <c r="H106" s="241">
        <v>-0.0026218637487768945</v>
      </c>
      <c r="I106" s="241">
        <v>-0.0026656558659891396</v>
      </c>
      <c r="J106" s="241">
        <v>0.004215651546006671</v>
      </c>
      <c r="K106" s="241">
        <v>-0.0023913308559858995</v>
      </c>
    </row>
    <row r="107">
      <c r="A107" s="240">
        <v>43493.97552467593</v>
      </c>
      <c r="B107" s="294">
        <v>3.945</v>
      </c>
      <c r="C107" s="295">
        <v>43.712</v>
      </c>
      <c r="D107" s="295">
        <v>167.25</v>
      </c>
      <c r="E107" s="295">
        <v>108.78</v>
      </c>
      <c r="F107" s="288">
        <v>7.09</v>
      </c>
      <c r="G107" s="241">
        <v>-2.814233515900562E-4</v>
      </c>
      <c r="H107" s="241">
        <v>-0.0011165838971329833</v>
      </c>
      <c r="I107" s="241">
        <v>-0.0011334096519968935</v>
      </c>
      <c r="J107" s="241">
        <v>0.003160707853920197</v>
      </c>
      <c r="K107" s="241">
        <v>-0.003336681801336875</v>
      </c>
    </row>
    <row r="108">
      <c r="A108" s="240">
        <v>43490.97550826389</v>
      </c>
      <c r="B108" s="294">
        <v>3.952</v>
      </c>
      <c r="C108" s="295">
        <v>44.381</v>
      </c>
      <c r="D108" s="295">
        <v>167.7</v>
      </c>
      <c r="E108" s="295">
        <v>108.85</v>
      </c>
      <c r="F108" s="288">
        <v>7.22</v>
      </c>
      <c r="G108" s="241">
        <v>-2.8097390934789246E-4</v>
      </c>
      <c r="H108" s="241">
        <v>0.0011953035200441924</v>
      </c>
      <c r="I108" s="241">
        <v>-9.119156479498643E-4</v>
      </c>
      <c r="J108" s="241">
        <v>0.0034680154930143794</v>
      </c>
      <c r="K108" s="241">
        <v>0.0018441141895543616</v>
      </c>
    </row>
    <row r="109">
      <c r="A109" s="240">
        <v>43489.97557335648</v>
      </c>
      <c r="B109" s="294">
        <v>3.986</v>
      </c>
      <c r="C109" s="295">
        <v>44.139</v>
      </c>
      <c r="D109" s="295">
        <v>168.99</v>
      </c>
      <c r="E109" s="295">
        <v>108.04</v>
      </c>
      <c r="F109" s="288">
        <v>7.2</v>
      </c>
      <c r="G109" s="241">
        <v>0.004525246884297267</v>
      </c>
      <c r="H109" s="241">
        <v>-0.0024013151960165327</v>
      </c>
      <c r="I109" s="241">
        <v>0.0026037182869526796</v>
      </c>
      <c r="J109" s="241">
        <v>0.0014207597047867597</v>
      </c>
      <c r="K109" s="241">
        <v>-0.0014005096115552451</v>
      </c>
    </row>
    <row r="110">
      <c r="A110" s="240">
        <v>43488.975535833335</v>
      </c>
      <c r="B110" s="294">
        <v>3.948</v>
      </c>
      <c r="C110" s="295">
        <v>43.852</v>
      </c>
      <c r="D110" s="295">
        <v>167.81</v>
      </c>
      <c r="E110" s="295">
        <v>107.75</v>
      </c>
      <c r="F110" s="288">
        <v>7.16</v>
      </c>
      <c r="G110" s="241">
        <v>0.0014322324562132671</v>
      </c>
      <c r="H110" s="241">
        <v>-0.0055434791135583845</v>
      </c>
      <c r="I110" s="241">
        <v>2.9604470877061156E-4</v>
      </c>
      <c r="J110" s="241">
        <v>-4.964655295239817E-4</v>
      </c>
      <c r="K110" s="241">
        <v>-0.004174445373042864</v>
      </c>
    </row>
    <row r="111">
      <c r="A111" s="240">
        <v>43487.97551689815</v>
      </c>
      <c r="B111" s="294">
        <v>3.955</v>
      </c>
      <c r="C111" s="295">
        <v>44.219</v>
      </c>
      <c r="D111" s="295">
        <v>168.15</v>
      </c>
      <c r="E111" s="295">
        <v>107.72</v>
      </c>
      <c r="F111" s="288">
        <v>7.18</v>
      </c>
      <c r="G111" s="241">
        <v>7.513080227381508E-4</v>
      </c>
      <c r="H111" s="241">
        <v>0.0039225933372689275</v>
      </c>
      <c r="I111" s="241">
        <v>4.3461102325200357E-4</v>
      </c>
      <c r="J111" s="241">
        <v>-0.0020102101548716833</v>
      </c>
      <c r="K111" s="241">
        <v>8.945843579017213E-4</v>
      </c>
    </row>
    <row r="112">
      <c r="A112" s="240">
        <v>43486.97550305555</v>
      </c>
      <c r="B112" s="294">
        <v>3.932</v>
      </c>
      <c r="C112" s="295">
        <v>44.455</v>
      </c>
      <c r="D112" s="295">
        <v>167.67</v>
      </c>
      <c r="E112" s="295">
        <v>107.58</v>
      </c>
      <c r="F112" s="288">
        <v>7.23</v>
      </c>
      <c r="G112" s="241">
        <v>-2.5795546673379466E-4</v>
      </c>
      <c r="H112" s="241">
        <v>0.0062966920502163974</v>
      </c>
      <c r="I112" s="241">
        <v>-2.588763212671245E-4</v>
      </c>
      <c r="J112" s="241">
        <v>-0.0026587438289208767</v>
      </c>
      <c r="K112" s="241">
        <v>0.002284748428385145</v>
      </c>
    </row>
    <row r="113">
      <c r="A113" s="240">
        <v>43483.97549008102</v>
      </c>
      <c r="B113" s="294">
        <v>3.931</v>
      </c>
      <c r="C113" s="295">
        <v>44.585</v>
      </c>
      <c r="D113" s="295">
        <v>167.66</v>
      </c>
      <c r="E113" s="295">
        <v>107.91</v>
      </c>
      <c r="F113" s="288">
        <v>7.25</v>
      </c>
      <c r="G113" s="241">
        <v>-6.815694413630317E-4</v>
      </c>
      <c r="H113" s="241">
        <v>0.009740086824780114</v>
      </c>
      <c r="I113" s="241">
        <v>-9.938937096758416E-4</v>
      </c>
      <c r="J113" s="241">
        <v>-2.222565646585739E-4</v>
      </c>
      <c r="K113" s="241">
        <v>0.005528095104966102</v>
      </c>
    </row>
    <row r="114">
      <c r="A114" s="240">
        <v>43482.975494976854</v>
      </c>
      <c r="B114" s="294">
        <v>3.946</v>
      </c>
      <c r="C114" s="295">
        <v>43.692</v>
      </c>
      <c r="D114" s="295">
        <v>167.93</v>
      </c>
      <c r="E114" s="295">
        <v>108.37</v>
      </c>
      <c r="F114" s="288">
        <v>7.16</v>
      </c>
      <c r="G114" s="241">
        <v>0.001605857704576404</v>
      </c>
      <c r="H114" s="241">
        <v>0.007498802879528199</v>
      </c>
      <c r="I114" s="241">
        <v>0.0016242580525387407</v>
      </c>
      <c r="J114" s="241">
        <v>0.00292739583026691</v>
      </c>
      <c r="K114" s="241">
        <v>0.003727704977449194</v>
      </c>
    </row>
    <row r="115">
      <c r="A115" s="240">
        <v>43481.97549166667</v>
      </c>
      <c r="B115" s="294">
        <v>3.935</v>
      </c>
      <c r="C115" s="295">
        <v>43.614</v>
      </c>
      <c r="D115" s="295">
        <v>167.8</v>
      </c>
      <c r="E115" s="295">
        <v>108.44</v>
      </c>
      <c r="F115" s="288">
        <v>7.18</v>
      </c>
      <c r="G115" s="241">
        <v>-5.965898781520318E-4</v>
      </c>
      <c r="H115" s="241">
        <v>0.006131165934593248</v>
      </c>
      <c r="I115" s="241">
        <v>0.001186691556028796</v>
      </c>
      <c r="J115" s="241">
        <v>0.003235800104887332</v>
      </c>
      <c r="K115" s="241">
        <v>0.006071233052442208</v>
      </c>
    </row>
    <row r="116">
      <c r="A116" s="240">
        <v>43480.97549563657</v>
      </c>
      <c r="B116" s="294">
        <v>3.939</v>
      </c>
      <c r="C116" s="295">
        <v>43.291</v>
      </c>
      <c r="D116" s="295">
        <v>168.16</v>
      </c>
      <c r="E116" s="295">
        <v>107.98</v>
      </c>
      <c r="F116" s="288">
        <v>7.13</v>
      </c>
      <c r="G116" s="241">
        <v>0.0010952007212874</v>
      </c>
      <c r="H116" s="241">
        <v>0.005095092867193081</v>
      </c>
      <c r="I116" s="241">
        <v>0.0038555766303463392</v>
      </c>
      <c r="J116" s="241">
        <v>0.0033737833931721806</v>
      </c>
      <c r="K116" s="241">
        <v>0.005168410001809047</v>
      </c>
    </row>
    <row r="117">
      <c r="A117" s="240">
        <v>43479.975508020834</v>
      </c>
      <c r="B117" s="294">
        <v>3.927</v>
      </c>
      <c r="C117" s="295">
        <v>42.715</v>
      </c>
      <c r="D117" s="295">
        <v>167.11</v>
      </c>
      <c r="E117" s="295">
        <v>107.42</v>
      </c>
      <c r="F117" s="288">
        <v>7.08</v>
      </c>
      <c r="G117" s="241">
        <v>5.042348493563923E-4</v>
      </c>
      <c r="H117" s="241">
        <v>0.0011838785989529328</v>
      </c>
      <c r="I117" s="241">
        <v>0.0023958916012047915</v>
      </c>
      <c r="J117" s="241">
        <v>0.0014891446639020052</v>
      </c>
      <c r="K117" s="241">
        <v>0.0018812014785087872</v>
      </c>
    </row>
    <row r="118">
      <c r="A118" s="240">
        <v>43476.97549700231</v>
      </c>
      <c r="B118" s="294">
        <v>3.942</v>
      </c>
      <c r="C118" s="295">
        <v>42.814</v>
      </c>
      <c r="D118" s="295">
        <v>167.2</v>
      </c>
      <c r="E118" s="295">
        <v>107.39</v>
      </c>
      <c r="F118" s="288">
        <v>7.05</v>
      </c>
      <c r="G118" s="241">
        <v>-0.00323825586374508</v>
      </c>
      <c r="H118" s="241">
        <v>0.003969143669371918</v>
      </c>
      <c r="I118" s="241">
        <v>-4.5835925948848705E-4</v>
      </c>
      <c r="J118" s="241">
        <v>4.297782068510836E-4</v>
      </c>
      <c r="K118" s="241">
        <v>0.0023627114939172023</v>
      </c>
    </row>
    <row r="119">
      <c r="A119" s="240">
        <v>43475.97551362269</v>
      </c>
      <c r="B119" s="294">
        <v>3.926</v>
      </c>
      <c r="C119" s="295">
        <v>42.63</v>
      </c>
      <c r="D119" s="295">
        <v>166.22</v>
      </c>
      <c r="E119" s="295">
        <v>106.89</v>
      </c>
      <c r="F119" s="288">
        <v>7.02</v>
      </c>
      <c r="G119" s="241">
        <v>-0.00500996745739742</v>
      </c>
      <c r="H119" s="241">
        <v>0.003497841025926318</v>
      </c>
      <c r="I119" s="241">
        <v>-0.0026311173403315014</v>
      </c>
      <c r="J119" s="241">
        <v>-0.001308677644650702</v>
      </c>
      <c r="K119" s="241">
        <v>0.0014204622537955884</v>
      </c>
    </row>
    <row r="120">
      <c r="A120" s="240">
        <v>43474.975515439815</v>
      </c>
      <c r="B120" s="294">
        <v>3.921</v>
      </c>
      <c r="C120" s="295">
        <v>42.563</v>
      </c>
      <c r="D120" s="295">
        <v>165.91</v>
      </c>
      <c r="E120" s="295">
        <v>106.94</v>
      </c>
      <c r="F120" s="288">
        <v>7.04</v>
      </c>
      <c r="G120" s="241">
        <v>-0.006354604855280869</v>
      </c>
      <c r="H120" s="241">
        <v>0.00562898839431251</v>
      </c>
      <c r="I120" s="241">
        <v>-0.005242476793634691</v>
      </c>
      <c r="J120" s="241">
        <v>-0.001711881870245587</v>
      </c>
      <c r="K120" s="241">
        <v>0.0038007450346507024</v>
      </c>
    </row>
    <row r="121">
      <c r="A121" s="240">
        <v>43473.97549445602</v>
      </c>
      <c r="B121" s="294">
        <v>3.98</v>
      </c>
      <c r="C121" s="295">
        <v>42.306</v>
      </c>
      <c r="D121" s="295">
        <v>167.42</v>
      </c>
      <c r="E121" s="295">
        <v>107.25</v>
      </c>
      <c r="F121" s="288">
        <v>7.0</v>
      </c>
      <c r="G121" s="241">
        <v>-0.005426298328912615</v>
      </c>
      <c r="H121" s="241">
        <v>0.010299201605413569</v>
      </c>
      <c r="I121" s="241">
        <v>-0.004700841361009307</v>
      </c>
      <c r="J121" s="241">
        <v>-0.0026372567827240476</v>
      </c>
      <c r="K121" s="241">
        <v>0.007653932077492838</v>
      </c>
    </row>
    <row r="122">
      <c r="A122" s="240">
        <v>43472.975529999996</v>
      </c>
      <c r="B122" s="294">
        <v>3.985</v>
      </c>
      <c r="C122" s="295">
        <v>42.184</v>
      </c>
      <c r="D122" s="295">
        <v>167.53</v>
      </c>
      <c r="E122" s="295">
        <v>107.31</v>
      </c>
      <c r="F122" s="288">
        <v>6.99</v>
      </c>
      <c r="G122" s="241">
        <v>-0.0017936936077377712</v>
      </c>
      <c r="H122" s="241">
        <v>0.0026239776787363813</v>
      </c>
      <c r="I122" s="241">
        <v>-0.0031664809518186696</v>
      </c>
      <c r="J122" s="241">
        <v>-0.003098325162386321</v>
      </c>
      <c r="K122" s="241">
        <v>0.0032791061237195476</v>
      </c>
    </row>
    <row r="123">
      <c r="A123" s="240">
        <v>43469.97551916666</v>
      </c>
      <c r="B123" s="294">
        <v>3.996</v>
      </c>
      <c r="C123" s="295">
        <v>41.848</v>
      </c>
      <c r="D123" s="295">
        <v>168.53</v>
      </c>
      <c r="E123" s="295">
        <v>107.49</v>
      </c>
      <c r="F123" s="288">
        <v>6.96</v>
      </c>
      <c r="G123" s="241">
        <v>0.004784602895646047</v>
      </c>
      <c r="H123" s="241">
        <v>0.0021043156870496813</v>
      </c>
      <c r="I123" s="241">
        <v>0.0036127110173194885</v>
      </c>
      <c r="J123" s="241">
        <v>0.0012770091658753646</v>
      </c>
      <c r="K123" s="241">
        <v>0.003775273232801838</v>
      </c>
    </row>
    <row r="124">
      <c r="A124" s="240">
        <v>43468.975556226855</v>
      </c>
      <c r="B124" s="294">
        <v>4.045</v>
      </c>
      <c r="C124" s="295">
        <v>41.009</v>
      </c>
      <c r="D124" s="295">
        <v>169.79</v>
      </c>
      <c r="E124" s="295">
        <v>108.1</v>
      </c>
      <c r="F124" s="288">
        <v>6.84</v>
      </c>
      <c r="G124" s="241">
        <v>0.008872023649733496</v>
      </c>
      <c r="H124" s="241">
        <v>-0.0020525579695716</v>
      </c>
      <c r="I124" s="241">
        <v>0.0060448573144406366</v>
      </c>
      <c r="J124" s="241">
        <v>0.004320552400728521</v>
      </c>
      <c r="K124" s="241">
        <v>-0.0019718532039797823</v>
      </c>
    </row>
    <row r="125">
      <c r="A125" s="240">
        <v>43467.975532094904</v>
      </c>
      <c r="B125" s="294">
        <v>4.006</v>
      </c>
      <c r="C125" s="295">
        <v>41.835</v>
      </c>
      <c r="D125" s="295">
        <v>169.12</v>
      </c>
      <c r="E125" s="295">
        <v>108.31</v>
      </c>
      <c r="F125" s="288">
        <v>6.92</v>
      </c>
      <c r="G125" s="241">
        <v>0.0029495286442268176</v>
      </c>
      <c r="H125" s="241">
        <v>0.010786370943581073</v>
      </c>
      <c r="I125" s="241">
        <v>0.004269654132624516</v>
      </c>
      <c r="J125" s="241">
        <v>0.004999341204296866</v>
      </c>
      <c r="K125" s="241">
        <v>-1.1202222520934058E-5</v>
      </c>
    </row>
    <row r="126">
      <c r="A126" s="240">
        <v>43465.0</v>
      </c>
      <c r="B126" s="294">
        <v>3.938</v>
      </c>
      <c r="C126" s="295">
        <v>41.567</v>
      </c>
      <c r="D126" s="295">
        <v>166.69</v>
      </c>
      <c r="E126" s="295">
        <v>107.07</v>
      </c>
      <c r="F126" s="288">
        <v>6.88</v>
      </c>
      <c r="G126" s="241">
        <v>-8.614635157280226E-4</v>
      </c>
      <c r="H126" s="241">
        <v>0.013096100829094626</v>
      </c>
      <c r="I126" s="241">
        <v>-5.997086790724785E-4</v>
      </c>
      <c r="J126" s="241">
        <v>0.004026262702464016</v>
      </c>
      <c r="K126" s="241">
        <v>-0.003864766769727135</v>
      </c>
    </row>
    <row r="127">
      <c r="A127" s="240">
        <v>43462.97555304398</v>
      </c>
      <c r="B127" s="294">
        <v>3.938</v>
      </c>
      <c r="C127" s="295">
        <v>41.252</v>
      </c>
      <c r="D127" s="295">
        <v>166.72</v>
      </c>
      <c r="E127" s="295">
        <v>106.7</v>
      </c>
      <c r="F127" s="288">
        <v>6.88</v>
      </c>
      <c r="G127" s="241">
        <v>-8.614635157280226E-4</v>
      </c>
      <c r="H127" s="241">
        <v>-8.514094856288216E-4</v>
      </c>
      <c r="I127" s="241">
        <v>5.781143291736512E-4</v>
      </c>
      <c r="J127" s="241">
        <v>0.003977286309085633</v>
      </c>
      <c r="K127" s="241">
        <v>-0.005780475581987687</v>
      </c>
    </row>
    <row r="128">
      <c r="A128" s="240">
        <v>43461.97553350695</v>
      </c>
      <c r="B128" s="294">
        <v>3.97</v>
      </c>
      <c r="C128" s="295">
        <v>40.494</v>
      </c>
      <c r="D128" s="295">
        <v>166.95</v>
      </c>
      <c r="E128" s="295">
        <v>106.69</v>
      </c>
      <c r="F128" s="288">
        <v>6.92</v>
      </c>
      <c r="G128" s="241">
        <v>-9.390336337118018E-4</v>
      </c>
      <c r="H128" s="241">
        <v>-0.007460357009072586</v>
      </c>
      <c r="I128" s="241">
        <v>6.774552493263494E-4</v>
      </c>
      <c r="J128" s="241">
        <v>0.004325444724794643</v>
      </c>
      <c r="K128" s="241">
        <v>-0.00574725299062558</v>
      </c>
    </row>
    <row r="129">
      <c r="A129" s="240">
        <v>43458.975581516206</v>
      </c>
      <c r="B129" s="294">
        <v>3.948</v>
      </c>
      <c r="C129" s="295">
        <v>39.954</v>
      </c>
      <c r="D129" s="295">
        <v>166.99</v>
      </c>
      <c r="E129" s="295">
        <v>105.78</v>
      </c>
      <c r="F129" s="288">
        <v>6.96</v>
      </c>
      <c r="G129" s="241">
        <v>8.979455860117872E-4</v>
      </c>
      <c r="H129" s="241">
        <v>-0.022634503314261572</v>
      </c>
      <c r="I129" s="241">
        <v>0.0016976391888350688</v>
      </c>
      <c r="J129" s="241">
        <v>0.0024635466783670865</v>
      </c>
      <c r="K129" s="241">
        <v>-0.006187894959446716</v>
      </c>
    </row>
    <row r="130">
      <c r="A130" s="240">
        <v>43455.9755625463</v>
      </c>
      <c r="B130" s="294">
        <v>3.948</v>
      </c>
      <c r="C130" s="295">
        <v>41.323</v>
      </c>
      <c r="D130" s="295">
        <v>166.43</v>
      </c>
      <c r="E130" s="295">
        <v>105.43</v>
      </c>
      <c r="F130" s="288">
        <v>7.0</v>
      </c>
      <c r="G130" s="241">
        <v>0.0014906134380140805</v>
      </c>
      <c r="H130" s="241">
        <v>-0.012485031859092999</v>
      </c>
      <c r="I130" s="241">
        <v>-4.2336223548974E-4</v>
      </c>
      <c r="J130" s="241">
        <v>0.0016463429581571691</v>
      </c>
      <c r="K130" s="241">
        <v>-0.005212477637548174</v>
      </c>
    </row>
    <row r="131">
      <c r="A131" s="240">
        <v>43454.97555884259</v>
      </c>
      <c r="B131" s="294">
        <v>3.981</v>
      </c>
      <c r="C131" s="295">
        <v>41.383</v>
      </c>
      <c r="D131" s="295">
        <v>166.61</v>
      </c>
      <c r="E131" s="295">
        <v>105.31</v>
      </c>
      <c r="F131" s="288">
        <v>7.04</v>
      </c>
      <c r="G131" s="241">
        <v>0.005803551866593315</v>
      </c>
      <c r="H131" s="241">
        <v>-0.017093006247511644</v>
      </c>
      <c r="I131" s="241">
        <v>1.5718489707938765E-4</v>
      </c>
      <c r="J131" s="241">
        <v>0.0019341828904765694</v>
      </c>
      <c r="K131" s="241">
        <v>-0.007995948269120015</v>
      </c>
    </row>
    <row r="132">
      <c r="A132" s="240">
        <v>43453.975029305555</v>
      </c>
      <c r="B132" s="294">
        <v>3.937</v>
      </c>
      <c r="C132" s="295">
        <v>42.715</v>
      </c>
      <c r="D132" s="295">
        <v>166.14</v>
      </c>
      <c r="E132" s="295">
        <v>105.0</v>
      </c>
      <c r="F132" s="288">
        <v>7.09</v>
      </c>
      <c r="G132" s="241">
        <v>0.0018637616873729372</v>
      </c>
      <c r="H132" s="241">
        <v>-0.011432914443907075</v>
      </c>
      <c r="I132" s="241">
        <v>-0.0016838734172782328</v>
      </c>
      <c r="J132" s="241">
        <v>4.1172396317742016E-4</v>
      </c>
      <c r="K132" s="241">
        <v>-0.01117637423474016</v>
      </c>
    </row>
    <row r="133">
      <c r="A133" s="240">
        <v>43452.97457569445</v>
      </c>
      <c r="B133" s="294">
        <v>3.93</v>
      </c>
      <c r="C133" s="295">
        <v>42.878</v>
      </c>
      <c r="D133" s="295">
        <v>166.64</v>
      </c>
      <c r="E133" s="295">
        <v>104.91</v>
      </c>
      <c r="F133" s="288">
        <v>7.11</v>
      </c>
      <c r="G133" s="241">
        <v>0.004336227934987484</v>
      </c>
      <c r="H133" s="241">
        <v>-0.012604633229932919</v>
      </c>
      <c r="I133" s="241">
        <v>0.0017946429488403897</v>
      </c>
      <c r="J133" s="241">
        <v>9.842150746215417E-4</v>
      </c>
      <c r="K133" s="241">
        <v>-0.011145587064523621</v>
      </c>
    </row>
    <row r="134">
      <c r="A134" s="240">
        <v>43451.973419444446</v>
      </c>
      <c r="B134" s="294">
        <v>3.912</v>
      </c>
      <c r="C134" s="295">
        <v>43.533</v>
      </c>
      <c r="D134" s="295">
        <v>166.53</v>
      </c>
      <c r="E134" s="295">
        <v>104.7</v>
      </c>
      <c r="F134" s="288">
        <v>7.21</v>
      </c>
      <c r="G134" s="241">
        <v>-0.003205785660762387</v>
      </c>
      <c r="H134" s="241">
        <v>-0.009534275627100556</v>
      </c>
      <c r="I134" s="241">
        <v>0.0015947195649363977</v>
      </c>
      <c r="J134" s="241">
        <v>-3.522395720181315E-4</v>
      </c>
      <c r="K134" s="241">
        <v>-0.007817898745876942</v>
      </c>
    </row>
    <row r="135">
      <c r="A135" s="240">
        <v>43448.97341672453</v>
      </c>
      <c r="B135" s="294">
        <v>3.915</v>
      </c>
      <c r="C135" s="295">
        <v>44.195</v>
      </c>
      <c r="D135" s="295">
        <v>166.98</v>
      </c>
      <c r="E135" s="295">
        <v>104.87</v>
      </c>
      <c r="F135" s="288">
        <v>7.33</v>
      </c>
      <c r="G135" s="241">
        <v>-0.0058200868143769196</v>
      </c>
      <c r="H135" s="241">
        <v>-0.00256753670057804</v>
      </c>
      <c r="I135" s="241">
        <v>8.189393961481144E-5</v>
      </c>
      <c r="J135" s="241">
        <v>-2.8806438027547304E-4</v>
      </c>
      <c r="K135" s="241">
        <v>-0.004076733271346574</v>
      </c>
    </row>
    <row r="136">
      <c r="A136" s="240">
        <v>43447.99310577546</v>
      </c>
      <c r="B136" s="294">
        <v>3.879</v>
      </c>
      <c r="C136" s="295">
        <v>44.519</v>
      </c>
      <c r="D136" s="295">
        <v>165.74</v>
      </c>
      <c r="E136" s="295">
        <v>104.6</v>
      </c>
      <c r="F136" s="288">
        <v>7.35</v>
      </c>
      <c r="G136" s="241">
        <v>-0.0072951296929711544</v>
      </c>
      <c r="H136" s="241">
        <v>0.008603592912102961</v>
      </c>
      <c r="I136" s="241">
        <v>-0.0015947144152797337</v>
      </c>
      <c r="J136" s="241">
        <v>-5.746234359705523E-4</v>
      </c>
      <c r="K136" s="241">
        <v>-0.0027179926529081744</v>
      </c>
    </row>
    <row r="137">
      <c r="A137" s="240">
        <v>43446.97483011574</v>
      </c>
      <c r="B137" s="294">
        <v>3.949</v>
      </c>
      <c r="C137" s="295">
        <v>44.789</v>
      </c>
      <c r="D137" s="295">
        <v>165.73</v>
      </c>
      <c r="E137" s="295">
        <v>104.81</v>
      </c>
      <c r="F137" s="288">
        <v>7.38</v>
      </c>
      <c r="G137" s="241">
        <v>0.002251952420198785</v>
      </c>
      <c r="H137" s="241">
        <v>0.002777633564055878</v>
      </c>
      <c r="I137" s="241">
        <v>5.069135896492346E-4</v>
      </c>
      <c r="J137" s="241">
        <v>9.217224846029085E-4</v>
      </c>
      <c r="K137" s="241">
        <v>-0.004506346320961104</v>
      </c>
    </row>
    <row r="138">
      <c r="A138" s="240">
        <v>43445.0</v>
      </c>
      <c r="B138" s="294">
        <v>3.983</v>
      </c>
      <c r="C138" s="295">
        <v>44.534</v>
      </c>
      <c r="D138" s="295">
        <v>166.93</v>
      </c>
      <c r="E138" s="295">
        <v>104.96</v>
      </c>
      <c r="F138" s="288">
        <v>7.42</v>
      </c>
      <c r="G138" s="241">
        <v>0.0024021764627863615</v>
      </c>
      <c r="H138" s="241">
        <v>0.00333540947613468</v>
      </c>
      <c r="I138" s="241">
        <v>0.0011477496322347773</v>
      </c>
      <c r="J138" s="241">
        <v>0.0019728290137100237</v>
      </c>
      <c r="K138" s="241">
        <v>0.004876095988310551</v>
      </c>
    </row>
    <row r="139">
      <c r="A139" s="240">
        <v>43444.97340633102</v>
      </c>
      <c r="B139" s="294">
        <v>3.964</v>
      </c>
      <c r="C139" s="295">
        <v>43.368</v>
      </c>
      <c r="D139" s="295">
        <v>166.53</v>
      </c>
      <c r="E139" s="295">
        <v>104.78</v>
      </c>
      <c r="F139" s="288">
        <v>7.41</v>
      </c>
      <c r="G139" s="241">
        <v>0.0045214091331817014</v>
      </c>
      <c r="H139" s="241">
        <v>-0.016194964250337618</v>
      </c>
      <c r="I139" s="241">
        <v>0.0021123620039599964</v>
      </c>
      <c r="J139" s="241">
        <v>0.0019123321195663179</v>
      </c>
      <c r="K139" s="241">
        <v>-0.002869081942449355</v>
      </c>
    </row>
    <row r="140">
      <c r="A140" s="240">
        <v>43441.97344800926</v>
      </c>
      <c r="B140" s="294">
        <v>3.922</v>
      </c>
      <c r="C140" s="295">
        <v>44.389</v>
      </c>
      <c r="D140" s="295">
        <v>165.47</v>
      </c>
      <c r="E140" s="295">
        <v>104.52</v>
      </c>
      <c r="F140" s="288">
        <v>7.48</v>
      </c>
      <c r="G140" s="241">
        <v>0.0015863835018173529</v>
      </c>
      <c r="H140" s="241">
        <v>-0.014905614074324003</v>
      </c>
      <c r="I140" s="241">
        <v>3.330810318779391E-4</v>
      </c>
      <c r="J140" s="241">
        <v>7.012514058878002E-4</v>
      </c>
      <c r="K140" s="241">
        <v>7.26045305182684E-4</v>
      </c>
    </row>
    <row r="141">
      <c r="A141" s="240">
        <v>43440.97339533565</v>
      </c>
      <c r="B141" s="294">
        <v>3.954</v>
      </c>
      <c r="C141" s="295">
        <v>44.062</v>
      </c>
      <c r="D141" s="295">
        <v>166.35</v>
      </c>
      <c r="E141" s="295">
        <v>104.34</v>
      </c>
      <c r="F141" s="288">
        <v>7.31</v>
      </c>
      <c r="G141" s="241">
        <v>0.009601156501435079</v>
      </c>
      <c r="H141" s="241">
        <v>-0.01920803880309152</v>
      </c>
      <c r="I141" s="241">
        <v>0.0036988723378347244</v>
      </c>
      <c r="J141" s="241">
        <v>0.0014055622875001432</v>
      </c>
      <c r="K141" s="241">
        <v>-0.005509229696848417</v>
      </c>
    </row>
    <row r="142">
      <c r="A142" s="240">
        <v>43439.97343138889</v>
      </c>
      <c r="B142" s="294">
        <v>3.91</v>
      </c>
      <c r="C142" s="295">
        <v>45.49</v>
      </c>
      <c r="D142" s="295">
        <v>165.47</v>
      </c>
      <c r="E142" s="295">
        <v>104.18</v>
      </c>
      <c r="F142" s="288">
        <v>7.47</v>
      </c>
      <c r="G142" s="241">
        <v>0.006325747389154553</v>
      </c>
      <c r="H142" s="241">
        <v>-0.0038598196996479186</v>
      </c>
      <c r="I142" s="241">
        <v>0.0014694915383262435</v>
      </c>
      <c r="J142" s="241">
        <v>0.0037497224327374123</v>
      </c>
      <c r="K142" s="241">
        <v>0.0044785019759953455</v>
      </c>
    </row>
    <row r="143">
      <c r="A143" s="240">
        <v>43438.97348383102</v>
      </c>
      <c r="B143" s="294">
        <v>3.903</v>
      </c>
      <c r="C143" s="295">
        <v>46.385</v>
      </c>
      <c r="D143" s="295">
        <v>165.3</v>
      </c>
      <c r="E143" s="295">
        <v>104.3</v>
      </c>
      <c r="F143" s="288">
        <v>7.46</v>
      </c>
      <c r="G143" s="241">
        <v>0.007901388753285091</v>
      </c>
      <c r="H143" s="241">
        <v>0.005038672680660013</v>
      </c>
      <c r="I143" s="241">
        <v>0.003170656980622281</v>
      </c>
      <c r="J143" s="241">
        <v>0.004457266465683785</v>
      </c>
      <c r="K143" s="241">
        <v>0.005389124717224081</v>
      </c>
    </row>
    <row r="144">
      <c r="A144" s="240">
        <v>43437.973497962965</v>
      </c>
      <c r="B144" s="294">
        <v>3.841</v>
      </c>
      <c r="C144" s="295">
        <v>46.642</v>
      </c>
      <c r="D144" s="295">
        <v>164.51</v>
      </c>
      <c r="E144" s="295">
        <v>103.9</v>
      </c>
      <c r="F144" s="288">
        <v>7.43</v>
      </c>
      <c r="G144" s="241">
        <v>1.572655938354058E-4</v>
      </c>
      <c r="H144" s="241">
        <v>0.008950488964347691</v>
      </c>
      <c r="I144" s="241">
        <v>-9.182123089727472E-5</v>
      </c>
      <c r="J144" s="241">
        <v>0.003405638106295128</v>
      </c>
      <c r="K144" s="241">
        <v>0.003140376930055163</v>
      </c>
    </row>
    <row r="145">
      <c r="A145" s="240">
        <v>43434.97342417824</v>
      </c>
      <c r="B145" s="294">
        <v>3.836</v>
      </c>
      <c r="C145" s="295">
        <v>46.006</v>
      </c>
      <c r="D145" s="295">
        <v>164.74</v>
      </c>
      <c r="E145" s="295">
        <v>103.01</v>
      </c>
      <c r="F145" s="288">
        <v>7.37</v>
      </c>
      <c r="G145" s="241">
        <v>-5.371336864742338E-4</v>
      </c>
      <c r="H145" s="241">
        <v>0.007253981162646787</v>
      </c>
      <c r="I145" s="241">
        <v>5.56524608568106E-4</v>
      </c>
      <c r="J145" s="241">
        <v>0.0010041078473307745</v>
      </c>
      <c r="K145" s="241">
        <v>0.0031659781940261977</v>
      </c>
    </row>
    <row r="146">
      <c r="A146" s="240">
        <v>43433.97351476851</v>
      </c>
      <c r="B146" s="294">
        <v>3.811</v>
      </c>
      <c r="C146" s="295">
        <v>45.683</v>
      </c>
      <c r="D146" s="295">
        <v>163.73</v>
      </c>
      <c r="E146" s="295">
        <v>102.91</v>
      </c>
      <c r="F146" s="288">
        <v>7.34</v>
      </c>
      <c r="G146" s="241">
        <v>-0.001061088504497265</v>
      </c>
      <c r="H146" s="241">
        <v>0.007779609131711607</v>
      </c>
      <c r="I146" s="241">
        <v>2.965153751361971E-4</v>
      </c>
      <c r="J146" s="241">
        <v>-3.256521602766534E-4</v>
      </c>
      <c r="K146" s="241">
        <v>0.0036356101091703508</v>
      </c>
    </row>
    <row r="147">
      <c r="A147" s="240">
        <v>43432.973458611115</v>
      </c>
      <c r="B147" s="294">
        <v>3.839</v>
      </c>
      <c r="C147" s="295">
        <v>45.4</v>
      </c>
      <c r="D147" s="295">
        <v>164.55</v>
      </c>
      <c r="E147" s="295">
        <v>102.84</v>
      </c>
      <c r="F147" s="288">
        <v>7.36</v>
      </c>
      <c r="G147" s="241">
        <v>2.544722101018859E-4</v>
      </c>
      <c r="H147" s="241">
        <v>0.007761339602358697</v>
      </c>
      <c r="I147" s="241">
        <v>0.0012119670668829425</v>
      </c>
      <c r="J147" s="241">
        <v>-9.730586276115819E-4</v>
      </c>
      <c r="K147" s="241">
        <v>-4.749290511918414E-5</v>
      </c>
    </row>
    <row r="148">
      <c r="A148" s="240">
        <v>43431.97346934028</v>
      </c>
      <c r="B148" s="294">
        <v>3.842</v>
      </c>
      <c r="C148" s="295">
        <v>45.012</v>
      </c>
      <c r="D148" s="295">
        <v>164.46</v>
      </c>
      <c r="E148" s="295">
        <v>102.7</v>
      </c>
      <c r="F148" s="288">
        <v>7.3</v>
      </c>
      <c r="G148" s="241">
        <v>0.0032956310247951683</v>
      </c>
      <c r="H148" s="241">
        <v>0.008550235922069124</v>
      </c>
      <c r="I148" s="241">
        <v>0.003388094275849333</v>
      </c>
      <c r="J148" s="241">
        <v>-6.511932065018655E-4</v>
      </c>
      <c r="K148" s="241">
        <v>-0.002764884209467041</v>
      </c>
    </row>
    <row r="149">
      <c r="A149" s="240">
        <v>43430.98210945602</v>
      </c>
      <c r="B149" s="294">
        <v>3.823</v>
      </c>
      <c r="C149" s="295">
        <v>44.625</v>
      </c>
      <c r="D149" s="295">
        <v>163.58</v>
      </c>
      <c r="E149" s="295">
        <v>103.01</v>
      </c>
      <c r="F149" s="288">
        <v>7.26</v>
      </c>
      <c r="G149" s="241">
        <v>0.0023482005092670586</v>
      </c>
      <c r="H149" s="241">
        <v>9.579256420057339E-4</v>
      </c>
      <c r="I149" s="241">
        <v>0.0019320996641161159</v>
      </c>
      <c r="J149" s="241">
        <v>3.8736753239480376E-4</v>
      </c>
      <c r="K149" s="241">
        <v>-0.009573252285702827</v>
      </c>
    </row>
    <row r="150">
      <c r="A150" s="240">
        <v>43427.97507409722</v>
      </c>
      <c r="B150" s="294">
        <v>3.836</v>
      </c>
      <c r="C150" s="295">
        <v>44.351</v>
      </c>
      <c r="D150" s="295">
        <v>163.95</v>
      </c>
      <c r="E150" s="295">
        <v>103.14</v>
      </c>
      <c r="F150" s="288">
        <v>7.36</v>
      </c>
      <c r="G150" s="241">
        <v>0.0019010796177558742</v>
      </c>
      <c r="H150" s="241">
        <v>0.001009137159602158</v>
      </c>
      <c r="I150" s="241">
        <v>0.0017842204378636002</v>
      </c>
      <c r="J150" s="241">
        <v>0.001650362181671916</v>
      </c>
      <c r="K150" s="241">
        <v>-0.002750737248510863</v>
      </c>
    </row>
    <row r="151">
      <c r="A151" s="240">
        <v>43426.973485243056</v>
      </c>
      <c r="B151" s="294">
        <v>3.804</v>
      </c>
      <c r="C151" s="295">
        <v>43.867</v>
      </c>
      <c r="D151" s="295">
        <v>162.79</v>
      </c>
      <c r="E151" s="295">
        <v>102.9</v>
      </c>
      <c r="F151" s="288">
        <v>7.36</v>
      </c>
      <c r="G151" s="241">
        <v>0.0023541057062624513</v>
      </c>
      <c r="H151" s="241">
        <v>-0.007981870417179756</v>
      </c>
      <c r="I151" s="241">
        <v>0.0013881252813921312</v>
      </c>
      <c r="J151" s="241">
        <v>0.002596111431321805</v>
      </c>
      <c r="K151" s="241">
        <v>-0.005895391336561251</v>
      </c>
    </row>
    <row r="152">
      <c r="A152" s="240">
        <v>43425.9745921875</v>
      </c>
      <c r="B152" s="294">
        <v>3.796</v>
      </c>
      <c r="C152" s="295">
        <v>44.489</v>
      </c>
      <c r="D152" s="295">
        <v>162.63</v>
      </c>
      <c r="E152" s="295">
        <v>102.89</v>
      </c>
      <c r="F152" s="288">
        <v>7.47</v>
      </c>
      <c r="G152" s="241">
        <v>0.0011235684486845532</v>
      </c>
      <c r="H152" s="241">
        <v>-0.0070548941325536685</v>
      </c>
      <c r="I152" s="241">
        <v>2.1745587115932588E-4</v>
      </c>
      <c r="J152" s="241">
        <v>0.0018454674397575161</v>
      </c>
      <c r="K152" s="241">
        <v>8.66644034271317E-4</v>
      </c>
    </row>
    <row r="153">
      <c r="A153" s="240">
        <v>43424.97343309028</v>
      </c>
      <c r="B153" s="294">
        <v>3.814</v>
      </c>
      <c r="C153" s="295">
        <v>44.209</v>
      </c>
      <c r="D153" s="295">
        <v>163.07</v>
      </c>
      <c r="E153" s="295">
        <v>102.63</v>
      </c>
      <c r="F153" s="288">
        <v>7.42</v>
      </c>
      <c r="G153" s="241">
        <v>6.077491307647046E-5</v>
      </c>
      <c r="H153" s="241">
        <v>-0.009174802392859283</v>
      </c>
      <c r="I153" s="241">
        <v>-9.317311172470181E-4</v>
      </c>
      <c r="J153" s="241">
        <v>7.099461119431568E-4</v>
      </c>
      <c r="K153" s="241">
        <v>-0.003154211947448249</v>
      </c>
    </row>
    <row r="154">
      <c r="A154" s="240">
        <v>43423.0</v>
      </c>
      <c r="B154" s="294">
        <v>3.777</v>
      </c>
      <c r="C154" s="295">
        <v>44.919</v>
      </c>
      <c r="D154" s="295">
        <v>162.11</v>
      </c>
      <c r="E154" s="295">
        <v>102.1</v>
      </c>
      <c r="F154" s="288">
        <v>7.49</v>
      </c>
      <c r="G154" s="241">
        <v>-0.0022113029695001174</v>
      </c>
      <c r="H154" s="241">
        <v>-0.004943950344656593</v>
      </c>
      <c r="I154" s="241">
        <v>-0.006685663702595305</v>
      </c>
      <c r="J154" s="241">
        <v>0.0016250133906687836</v>
      </c>
      <c r="K154" s="241">
        <v>-0.002234747000474916</v>
      </c>
    </row>
    <row r="155">
      <c r="A155" s="240">
        <v>43420.0</v>
      </c>
      <c r="B155" s="294">
        <v>3.783</v>
      </c>
      <c r="C155" s="295">
        <v>45.431</v>
      </c>
      <c r="D155" s="295">
        <v>162.52</v>
      </c>
      <c r="E155" s="295">
        <v>102.32</v>
      </c>
      <c r="F155" s="288">
        <v>7.45</v>
      </c>
      <c r="G155" s="241">
        <v>-0.0013310895678889285</v>
      </c>
      <c r="H155" s="241">
        <v>-0.006116696515969207</v>
      </c>
      <c r="I155" s="241">
        <v>-0.0057418367378612905</v>
      </c>
      <c r="J155" s="241">
        <v>0.0012605863069337826</v>
      </c>
      <c r="K155" s="241">
        <v>4.0596817649548217E-4</v>
      </c>
    </row>
    <row r="156">
      <c r="A156" s="240">
        <v>43419.0</v>
      </c>
      <c r="B156" s="294">
        <v>3.813</v>
      </c>
      <c r="C156" s="295">
        <v>45.434</v>
      </c>
      <c r="D156" s="295">
        <v>163.52</v>
      </c>
      <c r="E156" s="295">
        <v>102.41</v>
      </c>
      <c r="F156" s="288">
        <v>7.49</v>
      </c>
      <c r="G156" s="241">
        <v>-0.0019350080151650333</v>
      </c>
      <c r="H156" s="241">
        <v>-0.005806502752264464</v>
      </c>
      <c r="I156" s="241">
        <v>-0.004960994019923041</v>
      </c>
      <c r="J156" s="241">
        <v>2.456968683040017E-4</v>
      </c>
      <c r="K156" s="241">
        <v>-0.0022846093895962927</v>
      </c>
    </row>
    <row r="157">
      <c r="A157" s="240">
        <v>43418.0</v>
      </c>
      <c r="B157" s="294">
        <v>3.802</v>
      </c>
      <c r="C157" s="295">
        <v>45.587</v>
      </c>
      <c r="D157" s="295">
        <v>165.38</v>
      </c>
      <c r="E157" s="295">
        <v>101.6</v>
      </c>
      <c r="F157" s="288">
        <v>7.54</v>
      </c>
      <c r="G157" s="241">
        <v>0.002926924441481312</v>
      </c>
      <c r="H157" s="241">
        <v>-0.007553891038755256</v>
      </c>
      <c r="I157" s="241">
        <v>0.002466005263300023</v>
      </c>
      <c r="J157" s="241">
        <v>-0.001348385184180012</v>
      </c>
      <c r="K157" s="241">
        <v>0.003919359592329548</v>
      </c>
    </row>
    <row r="158">
      <c r="A158" s="240">
        <v>43417.0</v>
      </c>
      <c r="B158" s="294">
        <v>3.798</v>
      </c>
      <c r="C158" s="295">
        <v>46.267</v>
      </c>
      <c r="D158" s="295">
        <v>165.33</v>
      </c>
      <c r="E158" s="295">
        <v>101.93</v>
      </c>
      <c r="F158" s="288">
        <v>7.44</v>
      </c>
      <c r="G158" s="241">
        <v>0.006734052064183649</v>
      </c>
      <c r="H158" s="241">
        <v>-0.0036183531550402583</v>
      </c>
      <c r="I158" s="241">
        <v>0.005756434486252478</v>
      </c>
      <c r="J158" s="241">
        <v>-0.0018668582328569272</v>
      </c>
      <c r="K158" s="241">
        <v>-5.4079604437632746E-5</v>
      </c>
    </row>
    <row r="159">
      <c r="A159" s="240">
        <v>43416.0</v>
      </c>
      <c r="B159" s="294">
        <v>3.835</v>
      </c>
      <c r="C159" s="295">
        <v>46.227</v>
      </c>
      <c r="D159" s="295">
        <v>165.96</v>
      </c>
      <c r="E159" s="295">
        <v>102.33</v>
      </c>
      <c r="F159" s="288">
        <v>7.54</v>
      </c>
      <c r="G159" s="241">
        <v>0.009264721987301513</v>
      </c>
      <c r="H159" s="241">
        <v>7.037275769613179E-5</v>
      </c>
      <c r="I159" s="241">
        <v>0.007498474331185445</v>
      </c>
      <c r="J159" s="241">
        <v>1.5667617103409803E-4</v>
      </c>
      <c r="K159" s="241">
        <v>0.005770293155418993</v>
      </c>
    </row>
    <row r="160">
      <c r="A160" s="240">
        <v>43413.0</v>
      </c>
      <c r="B160" s="294">
        <v>3.768</v>
      </c>
      <c r="C160" s="295">
        <v>46.625</v>
      </c>
      <c r="D160" s="295">
        <v>164.15</v>
      </c>
      <c r="E160" s="295">
        <v>102.01</v>
      </c>
      <c r="F160" s="288">
        <v>7.45</v>
      </c>
      <c r="G160" s="241">
        <v>0.003977503830726777</v>
      </c>
      <c r="H160" s="241">
        <v>0.007051754611581955</v>
      </c>
      <c r="I160" s="241">
        <v>0.002527672399098161</v>
      </c>
      <c r="J160" s="241">
        <v>-0.002384855712408059</v>
      </c>
      <c r="K160" s="241">
        <v>-4.5769946095830516E-4</v>
      </c>
    </row>
    <row r="161">
      <c r="A161" s="240">
        <v>43412.0</v>
      </c>
      <c r="B161" s="294">
        <v>3.721</v>
      </c>
      <c r="C161" s="295">
        <v>46.77</v>
      </c>
      <c r="D161" s="295">
        <v>162.48</v>
      </c>
      <c r="E161" s="295">
        <v>102.5</v>
      </c>
      <c r="F161" s="288">
        <v>7.44</v>
      </c>
      <c r="G161" s="241">
        <v>-8.07051122045673E-4</v>
      </c>
      <c r="H161" s="241">
        <v>0.00973161781551446</v>
      </c>
      <c r="I161" s="241">
        <v>-0.0015592581777192545</v>
      </c>
      <c r="J161" s="241">
        <v>-0.0021463685312754035</v>
      </c>
      <c r="K161" s="241">
        <v>-0.00403291942605181</v>
      </c>
    </row>
    <row r="162">
      <c r="A162" s="240">
        <v>43411.0</v>
      </c>
      <c r="B162" s="294">
        <v>3.729</v>
      </c>
      <c r="C162" s="295">
        <v>46.212</v>
      </c>
      <c r="D162" s="295">
        <v>162.25</v>
      </c>
      <c r="E162" s="295">
        <v>102.28</v>
      </c>
      <c r="F162" s="288">
        <v>7.41</v>
      </c>
      <c r="G162" s="241">
        <v>-1.797633975421098E-4</v>
      </c>
      <c r="H162" s="241">
        <v>0.006987728014238341</v>
      </c>
      <c r="I162" s="241">
        <v>-0.0023986680950534023</v>
      </c>
      <c r="J162" s="241">
        <v>-0.003895808189301316</v>
      </c>
      <c r="K162" s="241">
        <v>-0.004048984199217213</v>
      </c>
    </row>
    <row r="163">
      <c r="A163" s="240">
        <v>43410.0</v>
      </c>
      <c r="B163" s="294">
        <v>3.723</v>
      </c>
      <c r="C163" s="295">
        <v>45.642</v>
      </c>
      <c r="D163" s="295">
        <v>162.9</v>
      </c>
      <c r="E163" s="295">
        <v>102.74</v>
      </c>
      <c r="F163" s="288">
        <v>7.46</v>
      </c>
      <c r="G163" s="241">
        <v>-0.0032176636942380377</v>
      </c>
      <c r="H163" s="241">
        <v>8.798809429560647E-4</v>
      </c>
      <c r="I163" s="241">
        <v>-0.002246326049824369</v>
      </c>
      <c r="J163" s="241">
        <v>-0.0021711691300620264</v>
      </c>
      <c r="K163" s="241">
        <v>-9.108825347997987E-4</v>
      </c>
    </row>
    <row r="164">
      <c r="A164" s="240">
        <v>43409.0</v>
      </c>
      <c r="B164" s="294">
        <v>3.73</v>
      </c>
      <c r="C164" s="295">
        <v>45.417</v>
      </c>
      <c r="D164" s="295">
        <v>163.24</v>
      </c>
      <c r="E164" s="295">
        <v>103.16</v>
      </c>
      <c r="F164" s="288">
        <v>7.53</v>
      </c>
      <c r="G164" s="241">
        <v>-0.004985182772990167</v>
      </c>
      <c r="H164" s="241">
        <v>-0.0012759376002119775</v>
      </c>
      <c r="I164" s="241">
        <v>-0.003583123027370553</v>
      </c>
      <c r="J164" s="241">
        <v>0.0015768209182767112</v>
      </c>
      <c r="K164" s="241">
        <v>4.34378942933004E-4</v>
      </c>
    </row>
    <row r="165">
      <c r="A165" s="240">
        <v>43406.0</v>
      </c>
      <c r="B165" s="294">
        <v>3.731</v>
      </c>
      <c r="C165" s="295">
        <v>45.249</v>
      </c>
      <c r="D165" s="295">
        <v>163.42</v>
      </c>
      <c r="E165" s="295">
        <v>103.48</v>
      </c>
      <c r="F165" s="288">
        <v>7.5</v>
      </c>
      <c r="G165" s="241">
        <v>-0.004719729928754764</v>
      </c>
      <c r="H165" s="241">
        <v>0.006294144021579203</v>
      </c>
      <c r="I165" s="241">
        <v>-0.002791323631797571</v>
      </c>
      <c r="J165" s="241">
        <v>0.0017666849844426569</v>
      </c>
      <c r="K165" s="241">
        <v>-4.5037989405945683E-4</v>
      </c>
    </row>
    <row r="166">
      <c r="A166" s="240">
        <v>43405.0</v>
      </c>
      <c r="B166" s="294">
        <v>3.759</v>
      </c>
      <c r="C166" s="295">
        <v>45.52</v>
      </c>
      <c r="D166" s="295">
        <v>164.0</v>
      </c>
      <c r="E166" s="295">
        <v>103.41</v>
      </c>
      <c r="F166" s="288">
        <v>7.48</v>
      </c>
      <c r="G166" s="241">
        <v>-0.002834797882166488</v>
      </c>
      <c r="H166" s="241">
        <v>0.006946237186758057</v>
      </c>
      <c r="I166" s="241">
        <v>-0.001001444962068924</v>
      </c>
      <c r="J166" s="241">
        <v>5.372800573742639E-4</v>
      </c>
      <c r="K166" s="241">
        <v>-0.004002384628487639</v>
      </c>
    </row>
    <row r="167">
      <c r="A167" s="240">
        <v>43404.0</v>
      </c>
      <c r="B167" s="294">
        <v>3.786</v>
      </c>
      <c r="C167" s="295">
        <v>45.59</v>
      </c>
      <c r="D167" s="295">
        <v>165.0</v>
      </c>
      <c r="E167" s="295">
        <v>102.67</v>
      </c>
      <c r="F167" s="288">
        <v>7.52</v>
      </c>
      <c r="G167" s="241">
        <v>-0.001583602211373621</v>
      </c>
      <c r="H167" s="241">
        <v>0.00858826878676359</v>
      </c>
      <c r="I167" s="241">
        <v>6.257822348793388E-4</v>
      </c>
      <c r="J167" s="241">
        <v>-0.00465703572211081</v>
      </c>
      <c r="K167" s="241">
        <v>-0.003981192051540979</v>
      </c>
    </row>
    <row r="168">
      <c r="A168" s="240">
        <v>43403.0</v>
      </c>
      <c r="B168" s="294">
        <v>3.784</v>
      </c>
      <c r="C168" s="295">
        <v>44.386</v>
      </c>
      <c r="D168" s="295">
        <v>164.79</v>
      </c>
      <c r="E168" s="295">
        <v>102.93</v>
      </c>
      <c r="F168" s="288">
        <v>7.51</v>
      </c>
      <c r="G168" s="241">
        <v>-3.5765660291967966E-4</v>
      </c>
      <c r="H168" s="241">
        <v>-0.005370863190125548</v>
      </c>
      <c r="I168" s="241">
        <v>0.0013349824402237864</v>
      </c>
      <c r="J168" s="241">
        <v>-0.0015076532265147307</v>
      </c>
      <c r="K168" s="241">
        <v>-0.00398643431396158</v>
      </c>
    </row>
    <row r="169">
      <c r="A169" s="240">
        <v>43402.0</v>
      </c>
      <c r="B169" s="294">
        <v>3.791</v>
      </c>
      <c r="C169" s="295">
        <v>44.565</v>
      </c>
      <c r="D169" s="295">
        <v>164.49</v>
      </c>
      <c r="E169" s="295">
        <v>103.24</v>
      </c>
      <c r="F169" s="288">
        <v>7.57</v>
      </c>
      <c r="G169" s="241">
        <v>6.109635640256794E-4</v>
      </c>
      <c r="H169" s="241">
        <v>-0.004033986297208747</v>
      </c>
      <c r="I169" s="241">
        <v>0.0010734042790487102</v>
      </c>
      <c r="J169" s="241">
        <v>3.989960547134223E-4</v>
      </c>
      <c r="K169" s="241">
        <v>-0.0017619149596504273</v>
      </c>
    </row>
    <row r="170">
      <c r="A170" s="240">
        <v>43399.0</v>
      </c>
      <c r="B170" s="294">
        <v>3.804</v>
      </c>
      <c r="C170" s="295">
        <v>44.414</v>
      </c>
      <c r="D170" s="295">
        <v>164.69</v>
      </c>
      <c r="E170" s="295">
        <v>104.11</v>
      </c>
      <c r="F170" s="288">
        <v>7.61</v>
      </c>
      <c r="G170" s="241">
        <v>0.004044366997735842</v>
      </c>
      <c r="H170" s="241">
        <v>-0.0029314448138040294</v>
      </c>
      <c r="I170" s="241">
        <v>0.004202939092267506</v>
      </c>
      <c r="J170" s="241">
        <v>0.004436446332352147</v>
      </c>
      <c r="K170" s="241">
        <v>0.001313484104479327</v>
      </c>
    </row>
    <row r="171">
      <c r="A171" s="240">
        <v>43398.0</v>
      </c>
      <c r="B171" s="294">
        <v>3.788</v>
      </c>
      <c r="C171" s="295">
        <v>45.101</v>
      </c>
      <c r="D171" s="295">
        <v>164.13</v>
      </c>
      <c r="E171" s="295">
        <v>103.39</v>
      </c>
      <c r="F171" s="288">
        <v>7.6</v>
      </c>
      <c r="G171" s="241">
        <v>0.0049485252864347835</v>
      </c>
      <c r="H171" s="241">
        <v>-0.004516484360536459</v>
      </c>
      <c r="I171" s="241">
        <v>0.004299357488384725</v>
      </c>
      <c r="J171" s="241">
        <v>0.005181258791552623</v>
      </c>
      <c r="K171" s="241">
        <v>-8.835509960746964E-4</v>
      </c>
    </row>
    <row r="172">
      <c r="A172" s="240">
        <v>43397.0</v>
      </c>
      <c r="B172" s="294">
        <v>3.784</v>
      </c>
      <c r="C172" s="295">
        <v>45.102</v>
      </c>
      <c r="D172" s="295">
        <v>163.96</v>
      </c>
      <c r="E172" s="295">
        <v>103.11</v>
      </c>
      <c r="F172" s="288">
        <v>7.61</v>
      </c>
      <c r="G172" s="241">
        <v>0.004596536550074341</v>
      </c>
      <c r="H172" s="241">
        <v>-0.0063833915912668475</v>
      </c>
      <c r="I172" s="241">
        <v>0.004653604829747822</v>
      </c>
      <c r="J172" s="241">
        <v>0.003230618937115848</v>
      </c>
      <c r="K172" s="241">
        <v>-8.82399824181627E-4</v>
      </c>
    </row>
    <row r="173">
      <c r="A173" s="240">
        <v>43396.0</v>
      </c>
      <c r="B173" s="294">
        <v>3.758</v>
      </c>
      <c r="C173" s="295">
        <v>44.8</v>
      </c>
      <c r="D173" s="295">
        <v>162.62</v>
      </c>
      <c r="E173" s="295">
        <v>102.73</v>
      </c>
      <c r="F173" s="288">
        <v>7.58</v>
      </c>
      <c r="G173" s="241">
        <v>0.0015023327155729478</v>
      </c>
      <c r="H173" s="241">
        <v>-0.008122219190876226</v>
      </c>
      <c r="I173" s="241">
        <v>0.0023210834152772217</v>
      </c>
      <c r="J173" s="241">
        <v>0.002491825428614517</v>
      </c>
      <c r="K173" s="241">
        <v>-0.0013227162779521073</v>
      </c>
    </row>
    <row r="174">
      <c r="A174" s="240">
        <v>43395.0</v>
      </c>
      <c r="B174" s="294">
        <v>3.732</v>
      </c>
      <c r="C174" s="295">
        <v>45.706</v>
      </c>
      <c r="D174" s="295">
        <v>162.02</v>
      </c>
      <c r="E174" s="295">
        <v>101.79</v>
      </c>
      <c r="F174" s="288">
        <v>7.62</v>
      </c>
      <c r="G174" s="241">
        <v>-7.147557854464045E-4</v>
      </c>
      <c r="H174" s="241">
        <v>-0.00199849896250807</v>
      </c>
      <c r="I174" s="241">
        <v>0.0015246857619182208</v>
      </c>
      <c r="J174" s="241">
        <v>2.917654497183175E-4</v>
      </c>
      <c r="K174" s="241">
        <v>-0.0013157819220324478</v>
      </c>
    </row>
    <row r="175">
      <c r="A175" s="240">
        <v>43392.0</v>
      </c>
      <c r="B175" s="294">
        <v>3.732</v>
      </c>
      <c r="C175" s="295">
        <v>45.963</v>
      </c>
      <c r="D175" s="295">
        <v>161.68</v>
      </c>
      <c r="E175" s="295">
        <v>102.11</v>
      </c>
      <c r="F175" s="288">
        <v>7.63</v>
      </c>
      <c r="G175" s="241">
        <v>0.0013351550879939407</v>
      </c>
      <c r="H175" s="241">
        <v>0.0016736822249428702</v>
      </c>
      <c r="I175" s="241">
        <v>0.002457954806859397</v>
      </c>
      <c r="J175" s="241">
        <v>0.00242128712964181</v>
      </c>
      <c r="K175" s="241">
        <v>-8.783366026973901E-4</v>
      </c>
    </row>
    <row r="176">
      <c r="A176" s="240">
        <v>43391.0</v>
      </c>
      <c r="B176" s="294">
        <v>3.741</v>
      </c>
      <c r="C176" s="295">
        <v>45.895</v>
      </c>
      <c r="D176" s="295">
        <v>161.49</v>
      </c>
      <c r="E176" s="295">
        <v>101.96</v>
      </c>
      <c r="F176" s="288">
        <v>7.61</v>
      </c>
      <c r="G176" s="241">
        <v>0.0022286916646739874</v>
      </c>
      <c r="H176" s="241">
        <v>0.003943003146465858</v>
      </c>
      <c r="I176" s="241">
        <v>0.0019623859061296636</v>
      </c>
      <c r="J176" s="241">
        <v>0.0022933303474619304</v>
      </c>
      <c r="K176" s="241">
        <v>-0.0013163507482128651</v>
      </c>
    </row>
    <row r="177">
      <c r="A177" s="240">
        <v>43390.0</v>
      </c>
      <c r="B177" s="294">
        <v>3.74</v>
      </c>
      <c r="C177" s="295">
        <v>45.98</v>
      </c>
      <c r="D177" s="295">
        <v>161.28</v>
      </c>
      <c r="E177" s="295">
        <v>101.7</v>
      </c>
      <c r="F177" s="288">
        <v>7.65</v>
      </c>
      <c r="G177" s="241">
        <v>7.940560982190314E-4</v>
      </c>
      <c r="H177" s="241">
        <v>0.00469264989492398</v>
      </c>
      <c r="I177" s="241">
        <v>8.644982989105543E-4</v>
      </c>
      <c r="J177" s="241">
        <v>0.0029575775452066835</v>
      </c>
      <c r="K177" s="241">
        <v>0.0017446303710547302</v>
      </c>
    </row>
    <row r="178">
      <c r="A178" s="240">
        <v>43389.0</v>
      </c>
      <c r="B178" s="294">
        <v>3.717</v>
      </c>
      <c r="C178" s="295">
        <v>45.732</v>
      </c>
      <c r="D178" s="295">
        <v>160.49</v>
      </c>
      <c r="E178" s="295">
        <v>101.37</v>
      </c>
      <c r="F178" s="288">
        <v>7.65</v>
      </c>
      <c r="G178" s="241">
        <v>-8.984885641964979E-4</v>
      </c>
      <c r="H178" s="241">
        <v>0.0030344675036239797</v>
      </c>
      <c r="I178" s="241">
        <v>-8.718826292947549E-4</v>
      </c>
      <c r="J178" s="241">
        <v>0.0022397215729259567</v>
      </c>
      <c r="K178" s="241">
        <v>0.00393473111568902</v>
      </c>
    </row>
    <row r="179">
      <c r="A179" s="240">
        <v>43388.0</v>
      </c>
      <c r="B179" s="294">
        <v>3.716</v>
      </c>
      <c r="C179" s="295">
        <v>45.353</v>
      </c>
      <c r="D179" s="295">
        <v>160.54</v>
      </c>
      <c r="E179" s="295">
        <v>101.26</v>
      </c>
      <c r="F179" s="288">
        <v>7.64</v>
      </c>
      <c r="G179" s="241">
        <v>0.001068894465794168</v>
      </c>
      <c r="H179" s="241">
        <v>-0.010070193366201777</v>
      </c>
      <c r="I179" s="241">
        <v>-1.6728409745684716E-4</v>
      </c>
      <c r="J179" s="241">
        <v>0.008863146245666531</v>
      </c>
      <c r="K179" s="241">
        <v>-2.83355924757626E-5</v>
      </c>
    </row>
    <row r="180">
      <c r="A180" s="240">
        <v>43385.0</v>
      </c>
      <c r="B180" s="294">
        <v>3.731</v>
      </c>
      <c r="C180" s="295">
        <v>45.335</v>
      </c>
      <c r="D180" s="295">
        <v>160.86</v>
      </c>
      <c r="E180" s="295">
        <v>100.8</v>
      </c>
      <c r="F180" s="288">
        <v>7.61</v>
      </c>
      <c r="G180" s="241">
        <v>8.845496870040585E-4</v>
      </c>
      <c r="H180" s="241">
        <v>-0.017472440257863653</v>
      </c>
      <c r="I180" s="241">
        <v>-0.001080081462217571</v>
      </c>
      <c r="J180" s="241">
        <v>0.005590591298887208</v>
      </c>
      <c r="K180" s="241">
        <v>-0.0057002378612366345</v>
      </c>
    </row>
    <row r="181">
      <c r="A181" s="240">
        <v>43384.0</v>
      </c>
      <c r="B181" s="294">
        <v>3.727</v>
      </c>
      <c r="C181" s="295">
        <v>45.316</v>
      </c>
      <c r="D181" s="295">
        <v>160.91</v>
      </c>
      <c r="E181" s="295">
        <v>100.69</v>
      </c>
      <c r="F181" s="288">
        <v>7.56</v>
      </c>
      <c r="G181" s="241">
        <v>0.0021396532421712098</v>
      </c>
      <c r="H181" s="241">
        <v>-0.016166842413849542</v>
      </c>
      <c r="I181" s="241">
        <v>-6.872991446397932E-4</v>
      </c>
      <c r="J181" s="241">
        <v>0.006505004883583372</v>
      </c>
      <c r="K181" s="241">
        <v>-0.0070290121631491065</v>
      </c>
    </row>
    <row r="182">
      <c r="A182" s="240">
        <v>43383.0</v>
      </c>
      <c r="B182" s="294">
        <v>3.704</v>
      </c>
      <c r="C182" s="295">
        <v>46.722</v>
      </c>
      <c r="D182" s="295">
        <v>160.62</v>
      </c>
      <c r="E182" s="295">
        <v>98.58</v>
      </c>
      <c r="F182" s="288">
        <v>7.64</v>
      </c>
      <c r="G182" s="241">
        <v>-2.774762565977233E-4</v>
      </c>
      <c r="H182" s="241">
        <v>-0.006301504410156348</v>
      </c>
      <c r="I182" s="241">
        <v>-3.164125623247305E-4</v>
      </c>
      <c r="J182" s="241">
        <v>-0.004160574015851792</v>
      </c>
      <c r="K182" s="241">
        <v>-0.0022063385149141044</v>
      </c>
    </row>
    <row r="183">
      <c r="A183" s="240">
        <v>43382.0</v>
      </c>
      <c r="B183" s="294">
        <v>3.721</v>
      </c>
      <c r="C183" s="295">
        <v>47.741</v>
      </c>
      <c r="D183" s="295">
        <v>161.38</v>
      </c>
      <c r="E183" s="295">
        <v>99.1</v>
      </c>
      <c r="F183" s="288">
        <v>7.74</v>
      </c>
      <c r="G183" s="241">
        <v>8.34417272605285E-5</v>
      </c>
      <c r="H183" s="241">
        <v>-6.77142187654615E-4</v>
      </c>
      <c r="I183" s="241">
        <v>9.912728468930432E-4</v>
      </c>
      <c r="J183" s="241">
        <v>-0.002368876018099949</v>
      </c>
      <c r="K183" s="241">
        <v>-1.065363143863222E-5</v>
      </c>
    </row>
    <row r="184">
      <c r="A184" s="240">
        <v>43381.0</v>
      </c>
      <c r="B184" s="294">
        <v>3.703</v>
      </c>
      <c r="C184" s="295">
        <v>47.534</v>
      </c>
      <c r="D184" s="295">
        <v>161.24</v>
      </c>
      <c r="E184" s="295">
        <v>98.72</v>
      </c>
      <c r="F184" s="288">
        <v>7.72</v>
      </c>
      <c r="G184" s="241">
        <v>-0.009503938433196598</v>
      </c>
      <c r="H184" s="241">
        <v>-0.005334738093153213</v>
      </c>
      <c r="I184" s="241">
        <v>-0.0010795446205258778</v>
      </c>
      <c r="J184" s="241">
        <v>-0.0025782419413356017</v>
      </c>
      <c r="K184" s="241">
        <v>-4.413168527995781E-4</v>
      </c>
    </row>
    <row r="185">
      <c r="A185" s="240">
        <v>43378.0</v>
      </c>
      <c r="B185" s="294">
        <v>3.707</v>
      </c>
      <c r="C185" s="295">
        <v>47.602</v>
      </c>
      <c r="D185" s="295">
        <v>160.77</v>
      </c>
      <c r="E185" s="295">
        <v>99.81</v>
      </c>
      <c r="F185" s="288">
        <v>7.69</v>
      </c>
      <c r="G185" s="241">
        <v>-0.009143870020198156</v>
      </c>
      <c r="H185" s="241">
        <v>-0.0029944552381144796</v>
      </c>
      <c r="I185" s="241">
        <v>-0.0025663476062556256</v>
      </c>
      <c r="J185" s="241">
        <v>6.346630839175009E-5</v>
      </c>
      <c r="K185" s="241">
        <v>-4.4299257956222543E-4</v>
      </c>
    </row>
    <row r="186">
      <c r="A186" s="240">
        <v>43377.0</v>
      </c>
      <c r="B186" s="294">
        <v>3.72</v>
      </c>
      <c r="C186" s="295">
        <v>47.837</v>
      </c>
      <c r="D186" s="295">
        <v>160.9</v>
      </c>
      <c r="E186" s="295">
        <v>99.8</v>
      </c>
      <c r="F186" s="288">
        <v>7.74</v>
      </c>
      <c r="G186" s="241">
        <v>-0.007012278032315411</v>
      </c>
      <c r="H186" s="241">
        <v>-0.0017583494741399235</v>
      </c>
      <c r="I186" s="241">
        <v>-0.0016384158435488831</v>
      </c>
      <c r="J186" s="241">
        <v>0.005341222943349304</v>
      </c>
      <c r="K186" s="241">
        <v>0.006053328611167326</v>
      </c>
    </row>
    <row r="187">
      <c r="A187" s="240">
        <v>43376.0</v>
      </c>
      <c r="B187" s="294">
        <v>3.809</v>
      </c>
      <c r="C187" s="295">
        <v>48.298</v>
      </c>
      <c r="D187" s="295">
        <v>161.76</v>
      </c>
      <c r="E187" s="295">
        <v>99.48</v>
      </c>
      <c r="F187" s="288">
        <v>7.73</v>
      </c>
      <c r="G187" s="241">
        <v>5.238049089043942E-4</v>
      </c>
      <c r="H187" s="241">
        <v>0.00449704334156494</v>
      </c>
      <c r="I187" s="241">
        <v>0.0010503146457541135</v>
      </c>
      <c r="J187" s="241">
        <v>0.004476084655912205</v>
      </c>
      <c r="K187" s="241">
        <v>0.010008630302087132</v>
      </c>
    </row>
    <row r="188">
      <c r="A188" s="240">
        <v>43375.0</v>
      </c>
      <c r="B188" s="294">
        <v>3.809</v>
      </c>
      <c r="C188" s="295">
        <v>48.028</v>
      </c>
      <c r="D188" s="295">
        <v>162.01</v>
      </c>
      <c r="E188" s="295">
        <v>99.79</v>
      </c>
      <c r="F188" s="288">
        <v>7.7</v>
      </c>
      <c r="G188" s="241">
        <v>0.0031533079328328606</v>
      </c>
      <c r="H188" s="241">
        <v>0.003717952864427406</v>
      </c>
      <c r="I188" s="241">
        <v>0.0035706491062238443</v>
      </c>
      <c r="J188" s="241">
        <v>0.009488734225536274</v>
      </c>
      <c r="K188" s="241">
        <v>0.013159413685729445</v>
      </c>
    </row>
    <row r="189">
      <c r="A189" s="240">
        <v>43374.0</v>
      </c>
      <c r="B189" s="294">
        <v>3.798</v>
      </c>
      <c r="C189" s="295">
        <v>48.087</v>
      </c>
      <c r="D189" s="295">
        <v>161.69</v>
      </c>
      <c r="E189" s="295">
        <v>98.2</v>
      </c>
      <c r="F189" s="288">
        <v>7.6</v>
      </c>
      <c r="G189" s="241">
        <v>0.005812903682907026</v>
      </c>
      <c r="H189" s="241">
        <v>0.004955628446177289</v>
      </c>
      <c r="I189" s="241">
        <v>0.005886215766693422</v>
      </c>
      <c r="J189" s="241">
        <v>0.0033525833814666375</v>
      </c>
      <c r="K189" s="241">
        <v>0.010181760708076451</v>
      </c>
    </row>
    <row r="190">
      <c r="A190" s="240">
        <v>43371.0</v>
      </c>
      <c r="B190" s="294">
        <v>3.803</v>
      </c>
      <c r="C190" s="295">
        <v>47.648</v>
      </c>
      <c r="D190" s="295">
        <v>161.25</v>
      </c>
      <c r="E190" s="295">
        <v>98.14</v>
      </c>
      <c r="F190" s="288">
        <v>7.5</v>
      </c>
      <c r="G190" s="241">
        <v>0.007412860110586321</v>
      </c>
      <c r="H190" s="241">
        <v>0.0025246701488271794</v>
      </c>
      <c r="I190" s="241">
        <v>0.005734559842029419</v>
      </c>
      <c r="J190" s="241">
        <v>0.0014687061671323498</v>
      </c>
      <c r="K190" s="241">
        <v>0.005795795795795811</v>
      </c>
    </row>
    <row r="191">
      <c r="A191" s="240">
        <v>43370.0</v>
      </c>
      <c r="B191" s="294">
        <v>3.773</v>
      </c>
      <c r="C191" s="295">
        <v>47.493</v>
      </c>
      <c r="D191" s="295">
        <v>160.28</v>
      </c>
      <c r="E191" s="295">
        <v>96.97</v>
      </c>
      <c r="F191" s="288">
        <v>7.4</v>
      </c>
      <c r="G191" s="241">
        <v>0.0039766886273945685</v>
      </c>
      <c r="H191" s="241">
        <v>0.002131131886678165</v>
      </c>
      <c r="I191" s="241">
        <v>0.0035401054930645306</v>
      </c>
      <c r="J191" s="241">
        <v>-0.0020616740186180462</v>
      </c>
      <c r="K191" s="241">
        <v>0.0022559194200986177</v>
      </c>
    </row>
    <row r="192">
      <c r="A192" s="240">
        <v>43369.0</v>
      </c>
      <c r="B192" s="294">
        <v>3.732</v>
      </c>
      <c r="C192" s="295">
        <v>47.375</v>
      </c>
      <c r="D192" s="295">
        <v>158.85</v>
      </c>
      <c r="E192" s="295">
        <v>97.21</v>
      </c>
      <c r="F192" s="288">
        <v>7.37</v>
      </c>
      <c r="G192" s="241">
        <v>-8.079143058025521E-4</v>
      </c>
      <c r="H192" s="241">
        <v>-0.001600217786752937</v>
      </c>
      <c r="I192" s="241">
        <v>-5.268907498684102E-4</v>
      </c>
      <c r="J192" s="241">
        <v>-8.608780247695661E-4</v>
      </c>
      <c r="K192" s="241">
        <v>0.002718627025663315</v>
      </c>
    </row>
    <row r="193">
      <c r="A193" s="240">
        <v>43368.0</v>
      </c>
      <c r="B193" s="294">
        <v>3.719</v>
      </c>
      <c r="C193" s="295">
        <v>47.288</v>
      </c>
      <c r="D193" s="295">
        <v>158.49</v>
      </c>
      <c r="E193" s="295">
        <v>97.7</v>
      </c>
      <c r="F193" s="288">
        <v>7.37</v>
      </c>
      <c r="G193" s="241">
        <v>-0.002414556957706241</v>
      </c>
      <c r="H193" s="241">
        <v>-0.0010639197329567935</v>
      </c>
      <c r="I193" s="241">
        <v>-0.0012194668492565193</v>
      </c>
      <c r="J193" s="241">
        <v>-9.933762858684487E-4</v>
      </c>
      <c r="K193" s="241">
        <v>0.005454605137838316</v>
      </c>
    </row>
    <row r="194">
      <c r="A194" s="240">
        <v>43367.0</v>
      </c>
      <c r="B194" s="294">
        <v>3.728</v>
      </c>
      <c r="C194" s="295">
        <v>47.19</v>
      </c>
      <c r="D194" s="295">
        <v>158.58</v>
      </c>
      <c r="E194" s="295">
        <v>97.57</v>
      </c>
      <c r="F194" s="288">
        <v>7.35</v>
      </c>
      <c r="G194" s="241">
        <v>-0.0019638237182329674</v>
      </c>
      <c r="H194" s="241">
        <v>-0.0017125610094500903</v>
      </c>
      <c r="I194" s="241">
        <v>-0.002769456668583118</v>
      </c>
      <c r="J194" s="241">
        <v>-0.003273833050599362</v>
      </c>
      <c r="K194" s="241">
        <v>0.0036304968392062062</v>
      </c>
    </row>
    <row r="195">
      <c r="A195" s="240">
        <v>43364.0</v>
      </c>
      <c r="B195" s="294">
        <v>3.741</v>
      </c>
      <c r="C195" s="295">
        <v>47.601</v>
      </c>
      <c r="D195" s="295">
        <v>159.1</v>
      </c>
      <c r="E195" s="295">
        <v>97.46</v>
      </c>
      <c r="F195" s="288">
        <v>7.31</v>
      </c>
      <c r="G195" s="241">
        <v>-0.0032014488970599033</v>
      </c>
      <c r="H195" s="241">
        <v>0.0016684836156217742</v>
      </c>
      <c r="I195" s="241">
        <v>-0.0026353553246592685</v>
      </c>
      <c r="J195" s="241">
        <v>-0.002296405870678697</v>
      </c>
      <c r="K195" s="241">
        <v>0.005025974791964501</v>
      </c>
    </row>
    <row r="196">
      <c r="A196" s="240">
        <v>43363.0</v>
      </c>
      <c r="B196" s="294">
        <v>3.746</v>
      </c>
      <c r="C196" s="295">
        <v>47.437</v>
      </c>
      <c r="D196" s="295">
        <v>159.07</v>
      </c>
      <c r="E196" s="295">
        <v>97.99</v>
      </c>
      <c r="F196" s="288">
        <v>7.25</v>
      </c>
      <c r="G196" s="241">
        <v>-0.006109566849831512</v>
      </c>
      <c r="H196" s="241">
        <v>0.0016179517853848562</v>
      </c>
      <c r="I196" s="241">
        <v>-0.0036543907998891623</v>
      </c>
      <c r="J196" s="241">
        <v>-0.0015706898270964054</v>
      </c>
      <c r="K196" s="241">
        <v>0.0027529596427523875</v>
      </c>
    </row>
    <row r="197">
      <c r="A197" s="240">
        <v>43362.0</v>
      </c>
      <c r="B197" s="294">
        <v>3.75</v>
      </c>
      <c r="C197" s="295">
        <v>47.431</v>
      </c>
      <c r="D197" s="295">
        <v>159.9</v>
      </c>
      <c r="E197" s="295">
        <v>98.53</v>
      </c>
      <c r="F197" s="288">
        <v>7.27</v>
      </c>
      <c r="G197" s="241">
        <v>-0.006015754827944549</v>
      </c>
      <c r="H197" s="241">
        <v>-2.7421751707934483E-4</v>
      </c>
      <c r="I197" s="241">
        <v>-0.002433292263014438</v>
      </c>
      <c r="J197" s="241">
        <v>0.0012819763403191242</v>
      </c>
      <c r="K197" s="241">
        <v>0.0027452861498743117</v>
      </c>
    </row>
    <row r="198">
      <c r="A198" s="240">
        <v>43361.0</v>
      </c>
      <c r="B198" s="294">
        <v>3.777</v>
      </c>
      <c r="C198" s="295">
        <v>47.363</v>
      </c>
      <c r="D198" s="295">
        <v>160.36</v>
      </c>
      <c r="E198" s="295">
        <v>98.13</v>
      </c>
      <c r="F198" s="288">
        <v>7.2</v>
      </c>
      <c r="G198" s="241">
        <v>-0.005711092701176608</v>
      </c>
      <c r="H198" s="241">
        <v>7.927631851465389E-4</v>
      </c>
      <c r="I198" s="241">
        <v>-0.0022814620987824754</v>
      </c>
      <c r="J198" s="241">
        <v>-0.0014976375929220593</v>
      </c>
      <c r="K198" s="241">
        <v>-0.0018512133118112246</v>
      </c>
    </row>
    <row r="199">
      <c r="A199" s="240">
        <v>43360.0</v>
      </c>
      <c r="B199" s="294">
        <v>3.815</v>
      </c>
      <c r="C199" s="295">
        <v>47.207</v>
      </c>
      <c r="D199" s="295">
        <v>160.82</v>
      </c>
      <c r="E199" s="295">
        <v>98.45</v>
      </c>
      <c r="F199" s="288">
        <v>7.19</v>
      </c>
      <c r="G199" s="241">
        <v>-0.002183940335407216</v>
      </c>
      <c r="H199" s="241">
        <v>-8.342519688112245E-4</v>
      </c>
      <c r="I199" s="241">
        <v>-0.0019239836720323922</v>
      </c>
      <c r="J199" s="241">
        <v>-0.0013913346902601302</v>
      </c>
      <c r="K199" s="241">
        <v>-0.0064578226836139825</v>
      </c>
    </row>
    <row r="200">
      <c r="A200" s="240">
        <v>43357.0</v>
      </c>
      <c r="B200" s="294">
        <v>3.818</v>
      </c>
      <c r="C200" s="295">
        <v>47.469</v>
      </c>
      <c r="D200" s="295">
        <v>161.07</v>
      </c>
      <c r="E200" s="295">
        <v>98.15</v>
      </c>
      <c r="F200" s="288">
        <v>7.21</v>
      </c>
      <c r="G200" s="241">
        <v>-0.0034843171375041524</v>
      </c>
      <c r="H200" s="241">
        <v>6.917486006687845E-4</v>
      </c>
      <c r="I200" s="241">
        <v>-0.0028895772512039417</v>
      </c>
      <c r="J200" s="241">
        <v>-0.0013955472641355993</v>
      </c>
      <c r="K200" s="241">
        <v>-0.003711600320559801</v>
      </c>
    </row>
    <row r="201">
      <c r="A201" s="240">
        <v>43356.0</v>
      </c>
      <c r="B201" s="294">
        <v>3.842</v>
      </c>
      <c r="C201" s="295">
        <v>47.249</v>
      </c>
      <c r="D201" s="295">
        <v>161.46</v>
      </c>
      <c r="E201" s="295">
        <v>98.57</v>
      </c>
      <c r="F201" s="288">
        <v>7.24</v>
      </c>
      <c r="G201" s="241">
        <v>-0.0018209820290897571</v>
      </c>
      <c r="H201" s="241">
        <v>-1.6351263527540164E-4</v>
      </c>
      <c r="I201" s="241">
        <v>-0.002226091006546508</v>
      </c>
      <c r="J201" s="241">
        <v>-4.0882358494502097E-4</v>
      </c>
      <c r="K201" s="241">
        <v>-0.0018673903977211026</v>
      </c>
    </row>
    <row r="202">
      <c r="A202" s="240">
        <v>43355.0</v>
      </c>
      <c r="B202" s="294">
        <v>3.84</v>
      </c>
      <c r="C202" s="295">
        <v>47.324</v>
      </c>
      <c r="D202" s="295">
        <v>161.75</v>
      </c>
      <c r="E202" s="295">
        <v>98.86</v>
      </c>
      <c r="F202" s="288">
        <v>7.33</v>
      </c>
      <c r="G202" s="241">
        <v>-0.0021670802089457375</v>
      </c>
      <c r="H202" s="241">
        <v>-3.3248857093023015E-4</v>
      </c>
      <c r="I202" s="241">
        <v>-0.002406682862231113</v>
      </c>
      <c r="J202" s="241">
        <v>-3.0630374641049674E-4</v>
      </c>
      <c r="K202" s="241">
        <v>0.002734131468994113</v>
      </c>
    </row>
    <row r="203">
      <c r="A203" s="240">
        <v>43354.0</v>
      </c>
      <c r="B203" s="294">
        <v>3.858</v>
      </c>
      <c r="C203" s="295">
        <v>47.37</v>
      </c>
      <c r="D203" s="295">
        <v>162.47</v>
      </c>
      <c r="E203" s="295">
        <v>98.56</v>
      </c>
      <c r="F203" s="288">
        <v>7.29</v>
      </c>
      <c r="G203" s="241">
        <v>-0.002156973481908242</v>
      </c>
      <c r="H203" s="241">
        <v>0.0019758553882055865</v>
      </c>
      <c r="I203" s="241">
        <v>-0.001352570338509329</v>
      </c>
      <c r="J203" s="241">
        <v>-5.430331164418453E-4</v>
      </c>
      <c r="K203" s="241">
        <v>0.002749143919945555</v>
      </c>
    </row>
    <row r="204">
      <c r="A204" s="240">
        <v>43353.0</v>
      </c>
      <c r="B204" s="294">
        <v>3.863</v>
      </c>
      <c r="C204" s="295">
        <v>47.272</v>
      </c>
      <c r="D204" s="295">
        <v>162.54</v>
      </c>
      <c r="E204" s="295">
        <v>98.69</v>
      </c>
      <c r="F204" s="288">
        <v>7.28</v>
      </c>
      <c r="G204" s="241">
        <v>-0.001209905046217467</v>
      </c>
      <c r="H204" s="241">
        <v>6.34999692252706E-4</v>
      </c>
      <c r="I204" s="241">
        <v>-7.185476568247751E-4</v>
      </c>
      <c r="J204" s="241">
        <v>4.0311436789449334E-4</v>
      </c>
      <c r="K204" s="241">
        <v>9.087706846643284E-4</v>
      </c>
    </row>
    <row r="205">
      <c r="A205" s="240">
        <v>43350.0</v>
      </c>
      <c r="B205" s="294">
        <v>3.865</v>
      </c>
      <c r="C205" s="295">
        <v>47.371</v>
      </c>
      <c r="D205" s="295">
        <v>162.92</v>
      </c>
      <c r="E205" s="295">
        <v>98.95</v>
      </c>
      <c r="F205" s="288">
        <v>7.27</v>
      </c>
      <c r="G205" s="241">
        <v>-0.0024129616834238274</v>
      </c>
      <c r="H205" s="241">
        <v>-0.002008653317306005</v>
      </c>
      <c r="I205" s="241">
        <v>-0.0012284658836024809</v>
      </c>
      <c r="J205" s="241">
        <v>9.769328337799015E-4</v>
      </c>
      <c r="K205" s="241">
        <v>-0.002763062532623447</v>
      </c>
    </row>
    <row r="206">
      <c r="A206" s="240">
        <v>43349.0</v>
      </c>
      <c r="B206" s="294">
        <v>3.883</v>
      </c>
      <c r="C206" s="295">
        <v>47.089</v>
      </c>
      <c r="D206" s="295">
        <v>163.13</v>
      </c>
      <c r="E206" s="295">
        <v>98.72</v>
      </c>
      <c r="F206" s="288">
        <v>7.23</v>
      </c>
      <c r="G206" s="241">
        <v>-0.0013743110254113011</v>
      </c>
      <c r="H206" s="241">
        <v>-0.0037621591552957265</v>
      </c>
      <c r="I206" s="241">
        <v>-8.533683575751017E-5</v>
      </c>
      <c r="J206" s="241">
        <v>-5.073766539657187E-4</v>
      </c>
      <c r="K206" s="241">
        <v>-0.0050518357839387145</v>
      </c>
    </row>
    <row r="207">
      <c r="A207" s="240">
        <v>43348.0</v>
      </c>
      <c r="B207" s="294">
        <v>3.877</v>
      </c>
      <c r="C207" s="295">
        <v>47.181</v>
      </c>
      <c r="D207" s="295">
        <v>162.89</v>
      </c>
      <c r="E207" s="295">
        <v>98.57</v>
      </c>
      <c r="F207" s="288">
        <v>7.26</v>
      </c>
      <c r="G207" s="241">
        <v>-0.00471061291069826</v>
      </c>
      <c r="H207" s="241">
        <v>-0.0022779442536842907</v>
      </c>
      <c r="I207" s="241">
        <v>-0.0013316011587967136</v>
      </c>
      <c r="J207" s="241">
        <v>-0.001418431295892771</v>
      </c>
      <c r="K207" s="241">
        <v>-0.0041228425262062425</v>
      </c>
    </row>
    <row r="208">
      <c r="A208" s="240">
        <v>43347.0</v>
      </c>
      <c r="B208" s="294">
        <v>3.893</v>
      </c>
      <c r="C208" s="295">
        <v>47.654</v>
      </c>
      <c r="D208" s="295">
        <v>163.52</v>
      </c>
      <c r="E208" s="295">
        <v>98.66</v>
      </c>
      <c r="F208" s="288">
        <v>7.33</v>
      </c>
      <c r="G208" s="241">
        <v>-7.069693346198521E-4</v>
      </c>
      <c r="H208" s="241">
        <v>0.00142869333538261</v>
      </c>
      <c r="I208" s="241">
        <v>0.0017512612733920907</v>
      </c>
      <c r="J208" s="241">
        <v>3.675520822888541E-4</v>
      </c>
      <c r="K208" s="241">
        <v>0.0013586889293511668</v>
      </c>
    </row>
    <row r="209">
      <c r="A209" s="240">
        <v>43346.0</v>
      </c>
      <c r="B209" s="294">
        <v>3.899</v>
      </c>
      <c r="C209" s="295">
        <v>47.621</v>
      </c>
      <c r="D209" s="295">
        <v>163.17</v>
      </c>
      <c r="E209" s="295">
        <v>98.87</v>
      </c>
      <c r="F209" s="288">
        <v>7.34</v>
      </c>
      <c r="G209" s="241">
        <v>0.0029683557805437744</v>
      </c>
      <c r="H209" s="241">
        <v>0.0017177082163736257</v>
      </c>
      <c r="I209" s="241">
        <v>0.003210011126715262</v>
      </c>
      <c r="J209" s="241">
        <v>0.001449121040713634</v>
      </c>
      <c r="K209" s="241">
        <v>0.002726683098556393</v>
      </c>
    </row>
    <row r="210">
      <c r="A210" s="240">
        <v>43343.0</v>
      </c>
      <c r="B210" s="294">
        <v>3.932</v>
      </c>
      <c r="C210" s="295">
        <v>47.502</v>
      </c>
      <c r="D210" s="295">
        <v>163.54</v>
      </c>
      <c r="E210" s="295">
        <v>98.99</v>
      </c>
      <c r="F210" s="288">
        <v>7.35</v>
      </c>
      <c r="G210" s="241">
        <v>0.005271993651272362</v>
      </c>
      <c r="H210" s="241">
        <v>0.0031854853602056865</v>
      </c>
      <c r="I210" s="241">
        <v>0.003883360774605271</v>
      </c>
      <c r="J210" s="241">
        <v>9.055686316621347E-4</v>
      </c>
      <c r="K210" s="241">
        <v>0.003638691163153037</v>
      </c>
    </row>
    <row r="211">
      <c r="A211" s="240">
        <v>43342.0</v>
      </c>
      <c r="B211" s="294">
        <v>3.901</v>
      </c>
      <c r="C211" s="295">
        <v>47.45</v>
      </c>
      <c r="D211" s="295">
        <v>162.66</v>
      </c>
      <c r="E211" s="295">
        <v>98.55</v>
      </c>
      <c r="F211" s="288">
        <v>7.3</v>
      </c>
      <c r="G211" s="241">
        <v>-2.84525748725728E-4</v>
      </c>
      <c r="H211" s="241">
        <v>0.001970410969036903</v>
      </c>
      <c r="I211" s="241">
        <v>3.574674281957198E-4</v>
      </c>
      <c r="J211" s="241">
        <v>-0.0019604493274668253</v>
      </c>
      <c r="K211" s="241">
        <v>-4.6290362423465997E-4</v>
      </c>
    </row>
    <row r="212">
      <c r="A212" s="240">
        <v>43341.0</v>
      </c>
      <c r="B212" s="294">
        <v>3.864</v>
      </c>
      <c r="C212" s="295">
        <v>47.376</v>
      </c>
      <c r="D212" s="295">
        <v>161.6</v>
      </c>
      <c r="E212" s="295">
        <v>98.44</v>
      </c>
      <c r="F212" s="288">
        <v>7.28</v>
      </c>
      <c r="G212" s="241">
        <v>-0.006263731199759019</v>
      </c>
      <c r="H212" s="241">
        <v>0.0024257822914130664</v>
      </c>
      <c r="I212" s="241">
        <v>-0.0038457719471255794</v>
      </c>
      <c r="J212" s="241">
        <v>-0.003072280213216668</v>
      </c>
      <c r="K212" s="241">
        <v>-0.0036561273935130645</v>
      </c>
    </row>
    <row r="213">
      <c r="A213" s="240">
        <v>43340.0</v>
      </c>
      <c r="B213" s="294">
        <v>3.87</v>
      </c>
      <c r="C213" s="295">
        <v>47.049</v>
      </c>
      <c r="D213" s="295">
        <v>161.64</v>
      </c>
      <c r="E213" s="295">
        <v>98.72</v>
      </c>
      <c r="F213" s="288">
        <v>7.27</v>
      </c>
      <c r="G213" s="241">
        <v>-0.006846801724078144</v>
      </c>
      <c r="H213" s="241">
        <v>6.778661580609432E-4</v>
      </c>
      <c r="I213" s="241">
        <v>-0.005312987396877578</v>
      </c>
      <c r="J213" s="241">
        <v>0.001298088445423969</v>
      </c>
      <c r="K213" s="241">
        <v>-0.002302408648489962</v>
      </c>
    </row>
    <row r="214">
      <c r="A214" s="240">
        <v>43339.0</v>
      </c>
      <c r="B214" s="294">
        <v>3.904</v>
      </c>
      <c r="C214" s="295">
        <v>47.169</v>
      </c>
      <c r="D214" s="295">
        <v>162.48</v>
      </c>
      <c r="E214" s="295">
        <v>99.13</v>
      </c>
      <c r="F214" s="288">
        <v>7.31</v>
      </c>
      <c r="G214" s="241">
        <v>-0.0025680808483599105</v>
      </c>
      <c r="H214" s="241">
        <v>0.0010594899725658118</v>
      </c>
      <c r="I214" s="241">
        <v>-0.002707983155431896</v>
      </c>
      <c r="J214" s="241">
        <v>0.0015637932741402831</v>
      </c>
      <c r="K214" s="241">
        <v>-4.683875572473924E-4</v>
      </c>
    </row>
    <row r="215">
      <c r="A215" s="240">
        <v>43336.0</v>
      </c>
      <c r="B215" s="294">
        <v>3.937</v>
      </c>
      <c r="C215" s="295">
        <v>47.031</v>
      </c>
      <c r="D215" s="295">
        <v>163.47</v>
      </c>
      <c r="E215" s="295">
        <v>99.35</v>
      </c>
      <c r="F215" s="288">
        <v>7.36</v>
      </c>
      <c r="G215" s="241">
        <v>-7.672347150288564E-4</v>
      </c>
      <c r="H215" s="241">
        <v>-0.0019716332786859545</v>
      </c>
      <c r="I215" s="241">
        <v>-0.0023049655810701473</v>
      </c>
      <c r="J215" s="241">
        <v>0.002100846200857228</v>
      </c>
      <c r="K215" s="241">
        <v>-4.652728280668539E-4</v>
      </c>
    </row>
    <row r="216">
      <c r="A216" s="240">
        <v>43335.0</v>
      </c>
      <c r="B216" s="294">
        <v>3.95</v>
      </c>
      <c r="C216" s="295">
        <v>46.953</v>
      </c>
      <c r="D216" s="295">
        <v>164.23</v>
      </c>
      <c r="E216" s="295">
        <v>98.33</v>
      </c>
      <c r="F216" s="288">
        <v>7.32</v>
      </c>
      <c r="G216" s="241">
        <v>-0.003636831094532389</v>
      </c>
      <c r="H216" s="241">
        <v>-0.003644754373335409</v>
      </c>
      <c r="I216" s="241">
        <v>-0.0035701467002582365</v>
      </c>
      <c r="J216" s="241">
        <v>-0.0032122681890847105</v>
      </c>
      <c r="K216" s="241">
        <v>-0.004086003168459751</v>
      </c>
    </row>
    <row r="217">
      <c r="A217" s="240">
        <v>43334.0</v>
      </c>
      <c r="B217" s="294">
        <v>3.934</v>
      </c>
      <c r="C217" s="295">
        <v>47.019</v>
      </c>
      <c r="D217" s="295">
        <v>163.8</v>
      </c>
      <c r="E217" s="295">
        <v>98.66</v>
      </c>
      <c r="F217" s="288">
        <v>7.32</v>
      </c>
      <c r="G217" s="241">
        <v>-0.003651371307838177</v>
      </c>
      <c r="H217" s="241">
        <v>-0.00248801779708215</v>
      </c>
      <c r="I217" s="241">
        <v>-0.004322417261671226</v>
      </c>
      <c r="J217" s="241">
        <v>-8.513084668536989E-4</v>
      </c>
      <c r="K217" s="241">
        <v>-0.004086003168459751</v>
      </c>
    </row>
    <row r="218">
      <c r="A218" s="240">
        <v>43333.0</v>
      </c>
      <c r="B218" s="294">
        <v>3.946</v>
      </c>
      <c r="C218" s="295">
        <v>47.309</v>
      </c>
      <c r="D218" s="295">
        <v>164.6</v>
      </c>
      <c r="E218" s="295">
        <v>98.72</v>
      </c>
      <c r="F218" s="288">
        <v>7.37</v>
      </c>
      <c r="G218" s="241">
        <v>-0.00137736542321365</v>
      </c>
      <c r="H218" s="241">
        <v>-0.0013750428514707942</v>
      </c>
      <c r="I218" s="241">
        <v>-0.0027145044261323026</v>
      </c>
      <c r="J218" s="241">
        <v>-0.0010192994441737824</v>
      </c>
      <c r="K218" s="241">
        <v>-0.001359293582388658</v>
      </c>
    </row>
    <row r="219">
      <c r="A219" s="240">
        <v>43332.0</v>
      </c>
      <c r="B219" s="294">
        <v>3.993</v>
      </c>
      <c r="C219" s="295">
        <v>47.468</v>
      </c>
      <c r="D219" s="295">
        <v>165.99</v>
      </c>
      <c r="E219" s="295">
        <v>99.28</v>
      </c>
      <c r="F219" s="288">
        <v>7.41</v>
      </c>
      <c r="G219" s="241">
        <v>-3.5174092953364305E-4</v>
      </c>
      <c r="H219" s="241">
        <v>0.0013731844706349101</v>
      </c>
      <c r="I219" s="241">
        <v>-0.0026515983207618943</v>
      </c>
      <c r="J219" s="241">
        <v>-8.45254527927645E-4</v>
      </c>
      <c r="K219" s="241">
        <v>0.0018011939064570548</v>
      </c>
    </row>
    <row r="220">
      <c r="A220" s="240">
        <v>43329.0</v>
      </c>
      <c r="B220" s="294">
        <v>3.977</v>
      </c>
      <c r="C220" s="295">
        <v>47.37</v>
      </c>
      <c r="D220" s="295">
        <v>165.93</v>
      </c>
      <c r="E220" s="295">
        <v>98.91</v>
      </c>
      <c r="F220" s="288">
        <v>7.41</v>
      </c>
      <c r="G220" s="241">
        <v>8.978606008569479E-4</v>
      </c>
      <c r="H220" s="241">
        <v>-9.791266116497093E-4</v>
      </c>
      <c r="I220" s="241">
        <v>-7.399316285476853E-4</v>
      </c>
      <c r="J220" s="241">
        <v>-0.0064413284362961525</v>
      </c>
      <c r="K220" s="241">
        <v>-0.004078498540399544</v>
      </c>
    </row>
    <row r="221">
      <c r="A221" s="240">
        <v>43328.0</v>
      </c>
      <c r="B221" s="294">
        <v>3.962</v>
      </c>
      <c r="C221" s="295">
        <v>47.504</v>
      </c>
      <c r="D221" s="295">
        <v>165.94</v>
      </c>
      <c r="E221" s="295">
        <v>99.02</v>
      </c>
      <c r="F221" s="288">
        <v>7.4</v>
      </c>
      <c r="G221" s="241">
        <v>6.492044031107813E-4</v>
      </c>
      <c r="H221" s="241">
        <v>0.002195008086044855</v>
      </c>
      <c r="I221" s="241">
        <v>4.6283000453484213E-4</v>
      </c>
      <c r="J221" s="241">
        <v>-0.004351555966158438</v>
      </c>
      <c r="K221" s="241">
        <v>-0.0018616744288385927</v>
      </c>
    </row>
    <row r="222">
      <c r="A222" s="240">
        <v>43327.0</v>
      </c>
      <c r="B222" s="294">
        <v>3.997</v>
      </c>
      <c r="C222" s="295">
        <v>47.272</v>
      </c>
      <c r="D222" s="295">
        <v>167.31</v>
      </c>
      <c r="E222" s="295">
        <v>99.53</v>
      </c>
      <c r="F222" s="288">
        <v>7.37</v>
      </c>
      <c r="G222" s="241">
        <v>0.0032566338940825945</v>
      </c>
      <c r="H222" s="241">
        <v>-4.50089653820059E-4</v>
      </c>
      <c r="I222" s="241">
        <v>0.003536695546529652</v>
      </c>
      <c r="J222" s="241">
        <v>-0.007386666748398274</v>
      </c>
      <c r="K222" s="241">
        <v>-0.008589369866211505</v>
      </c>
    </row>
    <row r="223">
      <c r="A223" s="240">
        <v>43326.0</v>
      </c>
      <c r="B223" s="294">
        <v>3.966</v>
      </c>
      <c r="C223" s="295">
        <v>47.508</v>
      </c>
      <c r="D223" s="295">
        <v>166.29</v>
      </c>
      <c r="E223" s="295">
        <v>100.83</v>
      </c>
      <c r="F223" s="288">
        <v>7.5</v>
      </c>
      <c r="G223" s="241">
        <v>0.008672035347480215</v>
      </c>
      <c r="H223" s="241">
        <v>0.0036999189928108947</v>
      </c>
      <c r="I223" s="241">
        <v>0.0074446951190676085</v>
      </c>
      <c r="J223" s="241">
        <v>0.0012918787880757583</v>
      </c>
      <c r="K223" s="241">
        <v>0.001699493656482809</v>
      </c>
    </row>
    <row r="224">
      <c r="A224" s="240">
        <v>43325.0</v>
      </c>
      <c r="B224" s="294">
        <v>3.954</v>
      </c>
      <c r="C224" s="295">
        <v>47.19</v>
      </c>
      <c r="D224" s="295">
        <v>165.7</v>
      </c>
      <c r="E224" s="295">
        <v>100.31</v>
      </c>
      <c r="F224" s="288">
        <v>7.44</v>
      </c>
      <c r="G224" s="241">
        <v>0.009820680529691131</v>
      </c>
      <c r="H224" s="241">
        <v>0.0024833103794359435</v>
      </c>
      <c r="I224" s="241">
        <v>0.007943142478542034</v>
      </c>
      <c r="J224" s="241">
        <v>0.0016640305840807113</v>
      </c>
      <c r="K224" s="241">
        <v>-7.351796103286883E-5</v>
      </c>
    </row>
    <row r="225">
      <c r="A225" s="240">
        <v>43322.0</v>
      </c>
      <c r="B225" s="294">
        <v>3.958</v>
      </c>
      <c r="C225" s="295">
        <v>47.334</v>
      </c>
      <c r="D225" s="295">
        <v>165.54</v>
      </c>
      <c r="E225" s="295">
        <v>101.74</v>
      </c>
      <c r="F225" s="288">
        <v>7.56</v>
      </c>
      <c r="G225" s="241">
        <v>0.009202533098783161</v>
      </c>
      <c r="H225" s="241">
        <v>0.0033367902755736534</v>
      </c>
      <c r="I225" s="241">
        <v>0.007085535608494935</v>
      </c>
      <c r="J225" s="241">
        <v>0.005380458350259391</v>
      </c>
      <c r="K225" s="241">
        <v>0.0030626827558131176</v>
      </c>
    </row>
    <row r="226">
      <c r="A226" s="240">
        <v>43321.0</v>
      </c>
      <c r="B226" s="294">
        <v>3.863</v>
      </c>
      <c r="C226" s="295">
        <v>46.981</v>
      </c>
      <c r="D226" s="295">
        <v>162.59</v>
      </c>
      <c r="E226" s="295">
        <v>100.42</v>
      </c>
      <c r="F226" s="288">
        <v>7.46</v>
      </c>
      <c r="G226" s="241">
        <v>-0.0013096154841137537</v>
      </c>
      <c r="H226" s="241">
        <v>0.0016973848311166255</v>
      </c>
      <c r="I226" s="241">
        <v>-3.358270262075654E-4</v>
      </c>
      <c r="J226" s="241">
        <v>7.227086561424345E-4</v>
      </c>
      <c r="K226" s="241">
        <v>-0.001346488320024597</v>
      </c>
    </row>
    <row r="227">
      <c r="A227" s="240">
        <v>43320.0</v>
      </c>
      <c r="B227" s="294">
        <v>3.838</v>
      </c>
      <c r="C227" s="295">
        <v>46.838</v>
      </c>
      <c r="D227" s="295">
        <v>161.77</v>
      </c>
      <c r="E227" s="295">
        <v>99.79</v>
      </c>
      <c r="F227" s="288">
        <v>7.44</v>
      </c>
      <c r="G227" s="241">
        <v>-8.881847476793769E-4</v>
      </c>
      <c r="H227" s="241">
        <v>0.0031573670333763606</v>
      </c>
      <c r="I227" s="241">
        <v>-4.194049835983075E-4</v>
      </c>
      <c r="J227" s="241">
        <v>-0.0025328462236087943</v>
      </c>
      <c r="K227" s="241">
        <v>-9.050298845293773E-4</v>
      </c>
    </row>
    <row r="228">
      <c r="A228" s="240">
        <v>43319.0</v>
      </c>
      <c r="B228" s="294">
        <v>3.849</v>
      </c>
      <c r="C228" s="295">
        <v>46.861</v>
      </c>
      <c r="D228" s="295">
        <v>162.03</v>
      </c>
      <c r="E228" s="295">
        <v>100.1</v>
      </c>
      <c r="F228" s="288">
        <v>7.49</v>
      </c>
      <c r="G228" s="241">
        <v>0.0017130505919614365</v>
      </c>
      <c r="H228" s="241">
        <v>0.005972199543757717</v>
      </c>
      <c r="I228" s="241">
        <v>0.0012276519693877515</v>
      </c>
      <c r="J228" s="241">
        <v>2.5966482565957055E-4</v>
      </c>
      <c r="K228" s="241">
        <v>0.0031224235829482674</v>
      </c>
    </row>
    <row r="229">
      <c r="A229" s="240">
        <v>43318.0</v>
      </c>
      <c r="B229" s="294">
        <v>3.878</v>
      </c>
      <c r="C229" s="295">
        <v>46.742</v>
      </c>
      <c r="D229" s="295">
        <v>162.75</v>
      </c>
      <c r="E229" s="295">
        <v>100.2</v>
      </c>
      <c r="F229" s="288">
        <v>7.49</v>
      </c>
      <c r="G229" s="241">
        <v>0.00605267899881116</v>
      </c>
      <c r="H229" s="241">
        <v>0.006509000626952921</v>
      </c>
      <c r="I229" s="241">
        <v>0.0046911424958678465</v>
      </c>
      <c r="J229" s="241">
        <v>9.259318386571902E-4</v>
      </c>
      <c r="K229" s="241">
        <v>0.006267077670998618</v>
      </c>
    </row>
    <row r="230">
      <c r="A230" s="240">
        <v>43315.0</v>
      </c>
      <c r="B230" s="294">
        <v>3.848</v>
      </c>
      <c r="C230" s="295">
        <v>46.395</v>
      </c>
      <c r="D230" s="295">
        <v>161.97</v>
      </c>
      <c r="E230" s="295">
        <v>100.55</v>
      </c>
      <c r="F230" s="288">
        <v>7.46</v>
      </c>
      <c r="G230" s="241">
        <v>0.0017233299306640415</v>
      </c>
      <c r="H230" s="241">
        <v>0.0050307512785616</v>
      </c>
      <c r="I230" s="241">
        <v>0.0031974618264593766</v>
      </c>
      <c r="J230" s="241">
        <v>0.001723309594488039</v>
      </c>
      <c r="K230" s="241">
        <v>0.001303846272520152</v>
      </c>
    </row>
    <row r="231">
      <c r="A231" s="240">
        <v>43314.0</v>
      </c>
      <c r="B231" s="294">
        <v>3.829</v>
      </c>
      <c r="C231" s="295">
        <v>46.026</v>
      </c>
      <c r="D231" s="295">
        <v>161.43</v>
      </c>
      <c r="E231" s="295">
        <v>100.02</v>
      </c>
      <c r="F231" s="288">
        <v>7.42</v>
      </c>
      <c r="G231" s="241">
        <v>0.001993162097047918</v>
      </c>
      <c r="H231" s="241">
        <v>0.0034518605171242425</v>
      </c>
      <c r="I231" s="241">
        <v>0.0028549601093709556</v>
      </c>
      <c r="J231" s="241">
        <v>3.295311780763625E-5</v>
      </c>
      <c r="K231" s="241">
        <v>4.1379952101031997E-4</v>
      </c>
    </row>
    <row r="232">
      <c r="A232" s="240">
        <v>43313.0</v>
      </c>
      <c r="B232" s="294">
        <v>3.808</v>
      </c>
      <c r="C232" s="295">
        <v>45.835</v>
      </c>
      <c r="D232" s="295">
        <v>160.47</v>
      </c>
      <c r="E232" s="295">
        <v>99.92</v>
      </c>
      <c r="F232" s="288">
        <v>7.35</v>
      </c>
      <c r="G232" s="241">
        <v>-0.0026375838658196558</v>
      </c>
      <c r="H232" s="241">
        <v>-0.0026367641858095294</v>
      </c>
      <c r="I232" s="241">
        <v>-0.001147525253456405</v>
      </c>
      <c r="J232" s="241">
        <v>-0.0023334435825209296</v>
      </c>
      <c r="K232" s="241">
        <v>-0.003180697122145674</v>
      </c>
    </row>
    <row r="233">
      <c r="A233" s="240">
        <v>43312.0</v>
      </c>
      <c r="B233" s="294">
        <v>3.828</v>
      </c>
      <c r="C233" s="295">
        <v>45.698</v>
      </c>
      <c r="D233" s="295">
        <v>160.42</v>
      </c>
      <c r="E233" s="295">
        <v>100.03</v>
      </c>
      <c r="F233" s="288">
        <v>7.43</v>
      </c>
      <c r="G233" s="241">
        <v>-1.9207726297010286E-4</v>
      </c>
      <c r="H233" s="241">
        <v>-0.004268094694941715</v>
      </c>
      <c r="I233" s="241">
        <v>-8.994636702078415E-4</v>
      </c>
      <c r="J233" s="241">
        <v>-0.002330890688817903</v>
      </c>
      <c r="K233" s="241">
        <v>4.4742079168658133E-4</v>
      </c>
    </row>
    <row r="234">
      <c r="A234" s="240">
        <v>43311.0</v>
      </c>
      <c r="B234" s="294">
        <v>3.806</v>
      </c>
      <c r="C234" s="295">
        <v>45.551</v>
      </c>
      <c r="D234" s="295">
        <v>160.05</v>
      </c>
      <c r="E234" s="295">
        <v>100.01</v>
      </c>
      <c r="F234" s="288">
        <v>7.41</v>
      </c>
      <c r="G234" s="241">
        <v>-0.0037613979116100462</v>
      </c>
      <c r="H234" s="241">
        <v>-0.0031580778003189223</v>
      </c>
      <c r="I234" s="241">
        <v>-0.0022070831326460225</v>
      </c>
      <c r="J234" s="241">
        <v>-0.0024306291249428145</v>
      </c>
      <c r="K234" s="241">
        <v>0.0013471026380658853</v>
      </c>
    </row>
    <row r="235">
      <c r="A235" s="240">
        <v>43308.0</v>
      </c>
      <c r="B235" s="294">
        <v>3.838</v>
      </c>
      <c r="C235" s="295">
        <v>46.194</v>
      </c>
      <c r="D235" s="295">
        <v>161.02</v>
      </c>
      <c r="E235" s="295">
        <v>100.62</v>
      </c>
      <c r="F235" s="288">
        <v>7.42</v>
      </c>
      <c r="G235" s="241">
        <v>0.001725874489822199</v>
      </c>
      <c r="H235" s="241">
        <v>0.002467980962604773</v>
      </c>
      <c r="I235" s="241">
        <v>0.0014683027164100377</v>
      </c>
      <c r="J235" s="241">
        <v>9.260400390586435E-4</v>
      </c>
      <c r="K235" s="241">
        <v>0.004055301110064136</v>
      </c>
    </row>
    <row r="236">
      <c r="A236" s="240">
        <v>43307.0</v>
      </c>
      <c r="B236" s="294">
        <v>3.83</v>
      </c>
      <c r="C236" s="295">
        <v>46.282</v>
      </c>
      <c r="D236" s="295">
        <v>160.85</v>
      </c>
      <c r="E236" s="295">
        <v>100.73</v>
      </c>
      <c r="F236" s="288">
        <v>7.42</v>
      </c>
      <c r="G236" s="241">
        <v>0.0015549026353927076</v>
      </c>
      <c r="H236" s="241">
        <v>0.005712830237201742</v>
      </c>
      <c r="I236" s="241">
        <v>0.0010332073726457096</v>
      </c>
      <c r="J236" s="241">
        <v>0.0020877365968734463</v>
      </c>
      <c r="K236" s="241">
        <v>0.006329061910427887</v>
      </c>
    </row>
    <row r="237">
      <c r="A237" s="240">
        <v>43306.0</v>
      </c>
      <c r="B237" s="294">
        <v>3.849</v>
      </c>
      <c r="C237" s="295">
        <v>45.979</v>
      </c>
      <c r="D237" s="295">
        <v>161.11</v>
      </c>
      <c r="E237" s="295">
        <v>100.74</v>
      </c>
      <c r="F237" s="288">
        <v>7.38</v>
      </c>
      <c r="G237" s="241">
        <v>-6.389846537962299E-4</v>
      </c>
      <c r="H237" s="241">
        <v>0.0029370584502497557</v>
      </c>
      <c r="I237" s="241">
        <v>9.607358945588433E-5</v>
      </c>
      <c r="J237" s="241">
        <v>0.0010885273280325143</v>
      </c>
      <c r="K237" s="241">
        <v>0.005447867633007197</v>
      </c>
    </row>
    <row r="238">
      <c r="A238" s="240">
        <v>43305.0</v>
      </c>
      <c r="B238" s="294">
        <v>3.818</v>
      </c>
      <c r="C238" s="295">
        <v>45.852</v>
      </c>
      <c r="D238" s="295">
        <v>160.31</v>
      </c>
      <c r="E238" s="295">
        <v>100.34</v>
      </c>
      <c r="F238" s="288">
        <v>7.33</v>
      </c>
      <c r="G238" s="241">
        <v>-0.009979957879943583</v>
      </c>
      <c r="H238" s="241">
        <v>-9.166105798417886E-4</v>
      </c>
      <c r="I238" s="241">
        <v>-0.005305126216880692</v>
      </c>
      <c r="J238" s="241">
        <v>-1.6861736621365253E-4</v>
      </c>
      <c r="K238" s="241">
        <v>0.002271238070568319</v>
      </c>
    </row>
    <row r="239">
      <c r="A239" s="240">
        <v>43304.0</v>
      </c>
      <c r="B239" s="294">
        <v>3.812</v>
      </c>
      <c r="C239" s="295">
        <v>45.493</v>
      </c>
      <c r="D239" s="295">
        <v>160.35</v>
      </c>
      <c r="E239" s="295">
        <v>100.1</v>
      </c>
      <c r="F239" s="288">
        <v>7.28</v>
      </c>
      <c r="G239" s="241">
        <v>-0.00872398049978984</v>
      </c>
      <c r="H239" s="241">
        <v>-0.0031566905743124116</v>
      </c>
      <c r="I239" s="241">
        <v>-0.003707453712433676</v>
      </c>
      <c r="J239" s="241">
        <v>-0.0022276524406981504</v>
      </c>
      <c r="K239" s="241">
        <v>0.0018289791017063555</v>
      </c>
    </row>
    <row r="240">
      <c r="A240" s="240">
        <v>43301.0</v>
      </c>
      <c r="B240" s="294">
        <v>3.856</v>
      </c>
      <c r="C240" s="295">
        <v>45.574</v>
      </c>
      <c r="D240" s="295">
        <v>161.06</v>
      </c>
      <c r="E240" s="295">
        <v>100.41</v>
      </c>
      <c r="F240" s="288">
        <v>7.26</v>
      </c>
      <c r="G240" s="241">
        <v>-0.004280026023164944</v>
      </c>
      <c r="H240" s="241">
        <v>7.159523692427487E-5</v>
      </c>
      <c r="I240" s="241">
        <v>-9.979376672875073E-4</v>
      </c>
      <c r="J240" s="241">
        <v>-6.660933620209475E-4</v>
      </c>
      <c r="K240" s="241">
        <v>0.002294443655568671</v>
      </c>
    </row>
    <row r="241">
      <c r="A241" s="240">
        <v>43300.0</v>
      </c>
      <c r="B241" s="294">
        <v>3.933</v>
      </c>
      <c r="C241" s="295">
        <v>45.975</v>
      </c>
      <c r="D241" s="295">
        <v>162.87</v>
      </c>
      <c r="E241" s="295">
        <v>100.39</v>
      </c>
      <c r="F241" s="288">
        <v>7.28</v>
      </c>
      <c r="G241" s="241">
        <v>0.0034005949844095515</v>
      </c>
      <c r="H241" s="241">
        <v>0.004292205075783724</v>
      </c>
      <c r="I241" s="241">
        <v>0.0034084303603817423</v>
      </c>
      <c r="J241" s="241">
        <v>-0.003018542875553846</v>
      </c>
      <c r="K241" s="241">
        <v>0.0027503964504447254</v>
      </c>
    </row>
    <row r="242">
      <c r="A242" s="240">
        <v>43299.0</v>
      </c>
      <c r="B242" s="294">
        <v>3.912</v>
      </c>
      <c r="C242" s="295">
        <v>45.924</v>
      </c>
      <c r="D242" s="295">
        <v>162.13</v>
      </c>
      <c r="E242" s="295">
        <v>100.77</v>
      </c>
      <c r="F242" s="288">
        <v>7.24</v>
      </c>
      <c r="G242" s="241">
        <v>-0.001461672553751699</v>
      </c>
      <c r="H242" s="241">
        <v>0.0020422288437963454</v>
      </c>
      <c r="I242" s="241">
        <v>7.435722922732868E-5</v>
      </c>
      <c r="J242" s="241">
        <v>-0.003764036241161469</v>
      </c>
      <c r="K242" s="241">
        <v>-0.003697910551878921</v>
      </c>
    </row>
    <row r="243">
      <c r="A243" s="240">
        <v>43298.0</v>
      </c>
      <c r="B243" s="294">
        <v>3.905</v>
      </c>
      <c r="C243" s="295">
        <v>45.561</v>
      </c>
      <c r="D243" s="295">
        <v>161.53</v>
      </c>
      <c r="E243" s="295">
        <v>100.61</v>
      </c>
      <c r="F243" s="288">
        <v>7.21</v>
      </c>
      <c r="G243" s="241">
        <v>-7.855394599114071E-4</v>
      </c>
      <c r="H243" s="241">
        <v>0.0014742960270744214</v>
      </c>
      <c r="I243" s="241">
        <v>-2.955030760369108E-4</v>
      </c>
      <c r="J243" s="241">
        <v>-0.00527455226025871</v>
      </c>
      <c r="K243" s="241">
        <v>-0.0028022589905267736</v>
      </c>
    </row>
    <row r="244">
      <c r="A244" s="240">
        <v>43297.0</v>
      </c>
      <c r="B244" s="294">
        <v>3.893</v>
      </c>
      <c r="C244" s="295">
        <v>45.385</v>
      </c>
      <c r="D244" s="295">
        <v>161.21</v>
      </c>
      <c r="E244" s="295">
        <v>101.3</v>
      </c>
      <c r="F244" s="288">
        <v>7.22</v>
      </c>
      <c r="G244" s="241">
        <v>-6.175661036000127E-4</v>
      </c>
      <c r="H244" s="241">
        <v>0.0027955196219692593</v>
      </c>
      <c r="I244" s="241">
        <v>2.3999650570138975E-4</v>
      </c>
      <c r="J244" s="241">
        <v>-0.0017166059917666694</v>
      </c>
      <c r="K244" s="241">
        <v>-0.005090969776720226</v>
      </c>
    </row>
    <row r="245">
      <c r="A245" s="240">
        <v>43294.0</v>
      </c>
      <c r="B245" s="294">
        <v>3.929</v>
      </c>
      <c r="C245" s="295">
        <v>45.641</v>
      </c>
      <c r="D245" s="295">
        <v>162.09</v>
      </c>
      <c r="E245" s="295">
        <v>101.91</v>
      </c>
      <c r="F245" s="288">
        <v>7.32</v>
      </c>
      <c r="G245" s="241">
        <v>0.0034905306117404646</v>
      </c>
      <c r="H245" s="241">
        <v>0.0033498921399294592</v>
      </c>
      <c r="I245" s="241">
        <v>0.0026803403172084663</v>
      </c>
      <c r="J245" s="241">
        <v>-0.0016081423854400108</v>
      </c>
      <c r="K245" s="241">
        <v>-0.005021686206625982</v>
      </c>
    </row>
    <row r="246">
      <c r="A246" s="240">
        <v>43293.0</v>
      </c>
      <c r="B246" s="294">
        <v>3.914</v>
      </c>
      <c r="C246" s="295">
        <v>45.358</v>
      </c>
      <c r="D246" s="295">
        <v>161.67</v>
      </c>
      <c r="E246" s="295">
        <v>102.21</v>
      </c>
      <c r="F246" s="288">
        <v>7.27</v>
      </c>
      <c r="G246" s="241">
        <v>0.002389409930903826</v>
      </c>
      <c r="H246" s="241">
        <v>0.0032749807405822264</v>
      </c>
      <c r="I246" s="241">
        <v>0.0021483182158796485</v>
      </c>
      <c r="J246" s="241">
        <v>-0.0017336552460522903</v>
      </c>
      <c r="K246" s="241">
        <v>-0.008195816584383694</v>
      </c>
    </row>
    <row r="247">
      <c r="A247" s="240">
        <v>43292.0</v>
      </c>
      <c r="B247" s="294">
        <v>3.9</v>
      </c>
      <c r="C247" s="295">
        <v>45.003</v>
      </c>
      <c r="D247" s="295">
        <v>161.09</v>
      </c>
      <c r="E247" s="295">
        <v>101.82</v>
      </c>
      <c r="F247" s="288">
        <v>7.33</v>
      </c>
      <c r="G247" s="241">
        <v>-1.7533931460467223E-4</v>
      </c>
      <c r="H247" s="241">
        <v>0.003471592441923965</v>
      </c>
      <c r="I247" s="241">
        <v>4.3367598859052797E-4</v>
      </c>
      <c r="J247" s="241">
        <v>-0.0010913293327922495</v>
      </c>
      <c r="K247" s="241">
        <v>-0.004102503068325196</v>
      </c>
    </row>
    <row r="248">
      <c r="A248" s="240">
        <v>43291.0</v>
      </c>
      <c r="B248" s="294">
        <v>3.888</v>
      </c>
      <c r="C248" s="295">
        <v>45.182</v>
      </c>
      <c r="D248" s="295">
        <v>160.79</v>
      </c>
      <c r="E248" s="295">
        <v>102.4</v>
      </c>
      <c r="F248" s="288">
        <v>7.43</v>
      </c>
      <c r="G248" s="241">
        <v>-0.002311521942842639</v>
      </c>
      <c r="H248" s="241">
        <v>0.006938116495349774</v>
      </c>
      <c r="I248" s="241">
        <v>-0.0017824870195968605</v>
      </c>
      <c r="J248" s="241">
        <v>-0.001998884275324575</v>
      </c>
      <c r="K248" s="241">
        <v>-0.0013519266607692944</v>
      </c>
    </row>
    <row r="249">
      <c r="A249" s="240">
        <v>43290.0</v>
      </c>
      <c r="B249" s="294">
        <v>3.886</v>
      </c>
      <c r="C249" s="295">
        <v>44.912</v>
      </c>
      <c r="D249" s="295">
        <v>160.63</v>
      </c>
      <c r="E249" s="295">
        <v>102.74</v>
      </c>
      <c r="F249" s="288">
        <v>7.45</v>
      </c>
      <c r="G249" s="241">
        <v>-0.0023127044791464435</v>
      </c>
      <c r="H249" s="241">
        <v>0.0042455761638220775</v>
      </c>
      <c r="I249" s="241">
        <v>-0.003557630384093846</v>
      </c>
      <c r="J249" s="241">
        <v>-0.0018952522958241753</v>
      </c>
      <c r="K249" s="241">
        <v>-0.0017951458877035753</v>
      </c>
    </row>
    <row r="250">
      <c r="A250" s="240">
        <v>43287.0</v>
      </c>
      <c r="B250" s="294">
        <v>3.902</v>
      </c>
      <c r="C250" s="295">
        <v>44.534</v>
      </c>
      <c r="D250" s="295">
        <v>160.88</v>
      </c>
      <c r="E250" s="295">
        <v>102.15</v>
      </c>
      <c r="F250" s="288">
        <v>7.42</v>
      </c>
      <c r="G250" s="241">
        <v>-7.698841114449628E-4</v>
      </c>
      <c r="H250" s="241">
        <v>3.50052818272754E-4</v>
      </c>
      <c r="I250" s="241">
        <v>-0.0025460772386836084</v>
      </c>
      <c r="J250" s="241">
        <v>-0.0032610115479363433</v>
      </c>
      <c r="K250" s="241">
        <v>-0.003137427766898219</v>
      </c>
    </row>
    <row r="251">
      <c r="A251" s="240">
        <v>43286.0</v>
      </c>
      <c r="B251" s="294">
        <v>3.915</v>
      </c>
      <c r="C251" s="295">
        <v>44.248</v>
      </c>
      <c r="D251" s="295">
        <v>161.65</v>
      </c>
      <c r="E251" s="295">
        <v>103.01</v>
      </c>
      <c r="F251" s="288">
        <v>7.46</v>
      </c>
      <c r="G251" s="241">
        <v>2.5542779712665425E-4</v>
      </c>
      <c r="H251" s="241">
        <v>-4.3440177524430484E-4</v>
      </c>
      <c r="I251" s="241">
        <v>-0.0019171072049222193</v>
      </c>
      <c r="J251" s="241">
        <v>0.0011287735277750361</v>
      </c>
      <c r="K251" s="241">
        <v>-0.0035656717148035977</v>
      </c>
    </row>
    <row r="252">
      <c r="A252" s="240">
        <v>43285.0</v>
      </c>
      <c r="B252" s="294">
        <v>3.913</v>
      </c>
      <c r="C252" s="295">
        <v>44.341</v>
      </c>
      <c r="D252" s="295">
        <v>162.35</v>
      </c>
      <c r="E252" s="295">
        <v>103.32</v>
      </c>
      <c r="F252" s="288">
        <v>7.49</v>
      </c>
      <c r="G252" s="241">
        <v>0.0010224295496018554</v>
      </c>
      <c r="H252" s="241">
        <v>-0.0015394704129078802</v>
      </c>
      <c r="I252" s="241">
        <v>0.00141259144456507</v>
      </c>
      <c r="J252" s="241">
        <v>0.0020994427407221203</v>
      </c>
      <c r="K252" s="241">
        <v>-0.005761882332942614</v>
      </c>
    </row>
    <row r="253">
      <c r="A253" s="240">
        <v>43284.0</v>
      </c>
      <c r="B253" s="294">
        <v>3.911</v>
      </c>
      <c r="C253" s="295">
        <v>44.486</v>
      </c>
      <c r="D253" s="295">
        <v>162.11</v>
      </c>
      <c r="E253" s="295">
        <v>103.15</v>
      </c>
      <c r="F253" s="288">
        <v>7.49</v>
      </c>
      <c r="G253" s="241">
        <v>-0.0011986989301483824</v>
      </c>
      <c r="H253" s="241">
        <v>5.00916481853871E-4</v>
      </c>
      <c r="I253" s="241">
        <v>-0.0020287463044583363</v>
      </c>
      <c r="J253" s="241">
        <v>-6.89202131724224E-4</v>
      </c>
      <c r="K253" s="241">
        <v>-0.006199327652277671</v>
      </c>
    </row>
    <row r="254">
      <c r="A254" s="240">
        <v>43283.0</v>
      </c>
      <c r="B254" s="294">
        <v>3.912</v>
      </c>
      <c r="C254" s="295">
        <v>44.305</v>
      </c>
      <c r="D254" s="295">
        <v>162.58</v>
      </c>
      <c r="E254" s="295">
        <v>102.66</v>
      </c>
      <c r="F254" s="288">
        <v>7.54</v>
      </c>
      <c r="G254" s="241">
        <v>-4.340637159531517E-4</v>
      </c>
      <c r="H254" s="241">
        <v>-0.0031967085702096685</v>
      </c>
      <c r="I254" s="241">
        <v>-7.353065255797745E-4</v>
      </c>
      <c r="J254" s="241">
        <v>-0.002885401745840325</v>
      </c>
      <c r="K254" s="241">
        <v>-0.004411010507705686</v>
      </c>
    </row>
    <row r="255">
      <c r="A255" s="240">
        <v>43280.0</v>
      </c>
      <c r="B255" s="294">
        <v>3.901</v>
      </c>
      <c r="C255" s="295">
        <v>44.545</v>
      </c>
      <c r="D255" s="295">
        <v>161.66</v>
      </c>
      <c r="E255" s="295">
        <v>102.67</v>
      </c>
      <c r="F255" s="288">
        <v>7.62</v>
      </c>
      <c r="G255" s="241">
        <v>0.0032240028907438343</v>
      </c>
      <c r="H255" s="241">
        <v>0.002118905284961059</v>
      </c>
      <c r="I255" s="241">
        <v>6.109146258043522E-4</v>
      </c>
      <c r="J255" s="241">
        <v>-0.002466645286992216</v>
      </c>
      <c r="K255" s="241">
        <v>0.004797584952920782</v>
      </c>
    </row>
    <row r="256">
      <c r="A256" s="240">
        <v>43279.0</v>
      </c>
      <c r="B256" s="294">
        <v>3.925</v>
      </c>
      <c r="C256" s="295">
        <v>44.418</v>
      </c>
      <c r="D256" s="295">
        <v>163.09</v>
      </c>
      <c r="E256" s="295">
        <v>103.36</v>
      </c>
      <c r="F256" s="288">
        <v>7.63</v>
      </c>
      <c r="G256" s="241">
        <v>0.005447336551226571</v>
      </c>
      <c r="H256" s="241">
        <v>0.00323216586591372</v>
      </c>
      <c r="I256" s="241">
        <v>0.004137942463971885</v>
      </c>
      <c r="J256" s="241">
        <v>-0.0013222074179800591</v>
      </c>
      <c r="K256" s="241">
        <v>0.005678882913179084</v>
      </c>
    </row>
    <row r="257">
      <c r="A257" s="240">
        <v>43278.0</v>
      </c>
      <c r="B257" s="294">
        <v>3.917</v>
      </c>
      <c r="C257" s="295">
        <v>44.73</v>
      </c>
      <c r="D257" s="295">
        <v>162.93</v>
      </c>
      <c r="E257" s="295">
        <v>103.55</v>
      </c>
      <c r="F257" s="288">
        <v>7.64</v>
      </c>
      <c r="G257" s="241">
        <v>0.004767931031056734</v>
      </c>
      <c r="H257" s="241">
        <v>-0.0023609641380607505</v>
      </c>
      <c r="I257" s="241">
        <v>0.0031486867115667616</v>
      </c>
      <c r="J257" s="241">
        <v>-0.0017373766175863652</v>
      </c>
      <c r="K257" s="241">
        <v>0.0012268660207952475</v>
      </c>
    </row>
  </sheetData>
  <conditionalFormatting sqref="G2:K257">
    <cfRule type="expression" dxfId="17" priority="1">
      <formula>G2&lt;AVERAGEIFS(G:G,G:G,"&lt;0",G:G,"&gt;-0.03")*2</formula>
    </cfRule>
  </conditionalFormatting>
  <conditionalFormatting sqref="G2:K257">
    <cfRule type="expression" dxfId="15" priority="2">
      <formula>G2&gt;AVERAGEIFS(G:G,G:G,"&gt;0",G:G,"&lt;0.03")*2</formula>
    </cfRule>
  </conditionalFormatting>
  <conditionalFormatting sqref="B2:F257">
    <cfRule type="expression" dxfId="4" priority="3">
      <formula>B2&gt;AVERAGEIFS(B:B,$A:$A,"&gt;" &amp; DATE(YEAR(TODAY())-1,MONTH(TODAY()),DAY(TODAY())))</formula>
    </cfRule>
  </conditionalFormatting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FF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2.75"/>
  <sheetData>
    <row r="1">
      <c r="A1" s="56" t="s">
        <v>879</v>
      </c>
      <c r="B1" s="56" t="s">
        <v>956</v>
      </c>
      <c r="C1" s="56" t="s">
        <v>659</v>
      </c>
      <c r="D1" s="56" t="s">
        <v>287</v>
      </c>
    </row>
    <row r="2">
      <c r="A2" s="18" t="s">
        <v>957</v>
      </c>
      <c r="B2" s="281">
        <v>16649.0364583333</v>
      </c>
      <c r="C2" s="246">
        <v>46.841943359374994</v>
      </c>
      <c r="D2" s="297">
        <v>14636.263818359375</v>
      </c>
    </row>
  </sheetData>
  <drawing r:id="rId2"/>
  <legacyDrawing r:id="rId3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2.75"/>
  <cols>
    <col customWidth="1" min="1" max="8" width="14.43"/>
  </cols>
  <sheetData>
    <row r="1">
      <c r="A1" s="42" t="s">
        <v>0</v>
      </c>
      <c r="B1" s="1" t="s">
        <v>123</v>
      </c>
      <c r="C1" s="1" t="s">
        <v>962</v>
      </c>
      <c r="D1" s="1" t="s">
        <v>963</v>
      </c>
      <c r="E1" s="1" t="s">
        <v>284</v>
      </c>
      <c r="F1" s="1" t="s">
        <v>964</v>
      </c>
      <c r="G1" s="1" t="s">
        <v>965</v>
      </c>
      <c r="H1" s="1" t="s">
        <v>287</v>
      </c>
    </row>
    <row r="2">
      <c r="A2" s="122">
        <v>43617.0</v>
      </c>
      <c r="B2" s="128">
        <v>14649.0364583333</v>
      </c>
      <c r="C2" s="128">
        <v>14500.0</v>
      </c>
      <c r="D2" s="128">
        <v>-500.0</v>
      </c>
      <c r="E2" s="243">
        <v>0.0125</v>
      </c>
      <c r="F2" s="128">
        <v>78.06990559895833</v>
      </c>
      <c r="G2" s="128">
        <v>227.1063639322577</v>
      </c>
      <c r="H2" s="128">
        <v>14727.106363932258</v>
      </c>
    </row>
    <row r="3">
      <c r="A3" s="122">
        <v>43586.0</v>
      </c>
      <c r="B3" s="128">
        <v>15149.0364583333</v>
      </c>
      <c r="C3" s="128">
        <v>15000.0</v>
      </c>
      <c r="D3" s="128">
        <v>0.0</v>
      </c>
      <c r="E3" s="243">
        <v>0.0125</v>
      </c>
      <c r="F3" s="128">
        <v>62.87259114583334</v>
      </c>
      <c r="G3" s="128">
        <v>211.9090494791327</v>
      </c>
      <c r="H3" s="128">
        <v>15211.909049479133</v>
      </c>
    </row>
    <row r="4">
      <c r="A4" s="122">
        <v>43556.0</v>
      </c>
      <c r="B4" s="128">
        <v>15149.0364583333</v>
      </c>
      <c r="C4" s="128">
        <v>15000.0</v>
      </c>
      <c r="D4" s="128">
        <v>0.0</v>
      </c>
      <c r="E4" s="243">
        <v>0.0125</v>
      </c>
      <c r="F4" s="128">
        <v>47.154443359375</v>
      </c>
      <c r="G4" s="128">
        <v>196.19090169267437</v>
      </c>
      <c r="H4" s="128">
        <v>15196.190901692675</v>
      </c>
    </row>
    <row r="5">
      <c r="A5" s="122">
        <v>43525.0</v>
      </c>
      <c r="B5" s="128">
        <v>15149.0364583333</v>
      </c>
      <c r="C5" s="128">
        <v>15000.0</v>
      </c>
      <c r="D5" s="128">
        <v>0.0</v>
      </c>
      <c r="E5" s="243">
        <v>0.0125</v>
      </c>
      <c r="F5" s="128">
        <v>31.43629557291667</v>
      </c>
      <c r="G5" s="128">
        <v>180.47275390621604</v>
      </c>
      <c r="H5" s="128">
        <v>15180.472753906217</v>
      </c>
    </row>
    <row r="6">
      <c r="A6" s="122">
        <v>43497.0</v>
      </c>
      <c r="B6" s="128">
        <v>15149.0364583333</v>
      </c>
      <c r="C6" s="128">
        <v>15000.0</v>
      </c>
      <c r="D6" s="128">
        <v>-1000.0</v>
      </c>
      <c r="E6" s="243">
        <v>0.0125</v>
      </c>
      <c r="F6" s="128">
        <v>15.718147786458335</v>
      </c>
      <c r="G6" s="128">
        <v>164.7546061197577</v>
      </c>
      <c r="H6" s="128">
        <v>15164.75460611979</v>
      </c>
    </row>
    <row r="7">
      <c r="A7" s="122">
        <v>43466.0</v>
      </c>
      <c r="B7" s="128">
        <v>16149.036458333332</v>
      </c>
      <c r="C7" s="128">
        <v>16000.0</v>
      </c>
      <c r="D7" s="128">
        <v>-1000.0</v>
      </c>
      <c r="E7" s="243">
        <v>0.0125</v>
      </c>
      <c r="F7" s="128">
        <v>138.61979166666669</v>
      </c>
      <c r="G7" s="128">
        <v>149.04</v>
      </c>
      <c r="H7" s="128">
        <v>16149.03645833333</v>
      </c>
    </row>
    <row r="8">
      <c r="A8" s="122">
        <v>43435.0</v>
      </c>
      <c r="B8" s="128">
        <v>17010.416666666664</v>
      </c>
      <c r="C8" s="128">
        <v>17000.0</v>
      </c>
      <c r="D8" s="128">
        <v>0.0</v>
      </c>
      <c r="E8" s="243">
        <v>0.0125</v>
      </c>
      <c r="F8" s="128">
        <v>121.94661458333336</v>
      </c>
      <c r="G8" s="128">
        <v>132.3632812499976</v>
      </c>
      <c r="H8" s="128">
        <v>17132.363281249996</v>
      </c>
    </row>
    <row r="9">
      <c r="A9" s="122">
        <v>43405.0</v>
      </c>
      <c r="B9" s="128">
        <v>17010.416666666664</v>
      </c>
      <c r="C9" s="128">
        <v>17000.0</v>
      </c>
      <c r="D9" s="128">
        <v>7000.0</v>
      </c>
      <c r="E9" s="243">
        <v>0.0125</v>
      </c>
      <c r="F9" s="128">
        <v>104.23177083333336</v>
      </c>
      <c r="G9" s="128">
        <v>114.6484374999976</v>
      </c>
      <c r="H9" s="128">
        <v>17114.648437499996</v>
      </c>
    </row>
    <row r="10">
      <c r="A10" s="122">
        <v>43374.0</v>
      </c>
      <c r="B10" s="128">
        <v>10010.416666666666</v>
      </c>
      <c r="C10" s="128">
        <v>10000.0</v>
      </c>
      <c r="D10" s="128">
        <v>0.0</v>
      </c>
      <c r="E10" s="243">
        <v>0.0125</v>
      </c>
      <c r="F10" s="128">
        <v>93.80859375</v>
      </c>
      <c r="G10" s="128">
        <v>104.22526041666606</v>
      </c>
      <c r="H10" s="128">
        <v>10104.225260416666</v>
      </c>
    </row>
    <row r="11">
      <c r="A11" s="122">
        <v>43344.0</v>
      </c>
      <c r="B11" s="128">
        <v>10010.416666666666</v>
      </c>
      <c r="C11" s="128">
        <v>10000.0</v>
      </c>
      <c r="D11" s="128">
        <v>0.0</v>
      </c>
      <c r="E11" s="243">
        <v>0.0125</v>
      </c>
      <c r="F11" s="128">
        <v>83.38541666666669</v>
      </c>
      <c r="G11" s="128">
        <v>93.80208333333275</v>
      </c>
      <c r="H11" s="128">
        <v>10093.802083333332</v>
      </c>
    </row>
    <row r="12">
      <c r="A12" s="122">
        <v>43313.0</v>
      </c>
      <c r="B12" s="128">
        <v>10010.416666666666</v>
      </c>
      <c r="C12" s="128">
        <v>10000.0</v>
      </c>
      <c r="D12" s="128">
        <v>0.0</v>
      </c>
      <c r="E12" s="243">
        <v>0.0125</v>
      </c>
      <c r="F12" s="128">
        <v>72.96223958333334</v>
      </c>
      <c r="G12" s="128">
        <v>83.3789062499994</v>
      </c>
      <c r="H12" s="128">
        <v>10083.37890625</v>
      </c>
    </row>
    <row r="13">
      <c r="A13" s="122">
        <v>43282.0</v>
      </c>
      <c r="B13" s="128">
        <v>10010.416666666666</v>
      </c>
      <c r="C13" s="128">
        <v>10000.0</v>
      </c>
      <c r="D13" s="128">
        <v>0.0</v>
      </c>
      <c r="E13" s="243">
        <v>0.0125</v>
      </c>
      <c r="F13" s="128">
        <v>62.5390625</v>
      </c>
      <c r="G13" s="128">
        <v>72.95572916666606</v>
      </c>
      <c r="H13" s="128">
        <v>10072.955729166666</v>
      </c>
    </row>
    <row r="14">
      <c r="A14" s="122">
        <v>43252.0</v>
      </c>
      <c r="B14" s="128">
        <v>10010.416666666666</v>
      </c>
      <c r="C14" s="128">
        <v>10000.0</v>
      </c>
      <c r="D14" s="128">
        <v>0.0</v>
      </c>
      <c r="E14" s="243">
        <v>0.0125</v>
      </c>
      <c r="F14" s="128">
        <v>52.11588541666668</v>
      </c>
      <c r="G14" s="128">
        <v>62.53255208333274</v>
      </c>
      <c r="H14" s="128">
        <v>10062.532552083332</v>
      </c>
    </row>
    <row r="15">
      <c r="A15" s="122">
        <v>43221.0</v>
      </c>
      <c r="B15" s="128">
        <v>10010.416666666666</v>
      </c>
      <c r="C15" s="128">
        <v>10000.0</v>
      </c>
      <c r="D15" s="128">
        <v>0.0</v>
      </c>
      <c r="E15" s="243">
        <v>0.0125</v>
      </c>
      <c r="F15" s="128">
        <v>41.69270833333334</v>
      </c>
      <c r="G15" s="128">
        <v>52.1093749999994</v>
      </c>
      <c r="H15" s="128">
        <v>10052.109375</v>
      </c>
    </row>
    <row r="16">
      <c r="A16" s="122">
        <v>43191.0</v>
      </c>
      <c r="B16" s="128">
        <v>10010.416666666666</v>
      </c>
      <c r="C16" s="128">
        <v>10000.0</v>
      </c>
      <c r="D16" s="128">
        <v>0.0</v>
      </c>
      <c r="E16" s="243">
        <v>0.0125</v>
      </c>
      <c r="F16" s="128">
        <v>31.26953125</v>
      </c>
      <c r="G16" s="128">
        <v>41.68619791666606</v>
      </c>
      <c r="H16" s="128">
        <v>10041.686197916666</v>
      </c>
    </row>
    <row r="17">
      <c r="A17" s="122">
        <v>43160.0</v>
      </c>
      <c r="B17" s="128">
        <v>10010.416666666666</v>
      </c>
      <c r="C17" s="128">
        <v>10000.0</v>
      </c>
      <c r="D17" s="128">
        <v>0.0</v>
      </c>
      <c r="E17" s="243">
        <v>0.0125</v>
      </c>
      <c r="F17" s="128">
        <v>20.84635416666667</v>
      </c>
      <c r="G17" s="128">
        <v>31.26302083333273</v>
      </c>
      <c r="H17" s="128">
        <v>10031.263020833332</v>
      </c>
    </row>
    <row r="18">
      <c r="A18" s="122">
        <v>43132.0</v>
      </c>
      <c r="B18" s="128">
        <v>10010.416666666666</v>
      </c>
      <c r="C18" s="128">
        <v>10000.0</v>
      </c>
      <c r="D18" s="128">
        <v>0.0</v>
      </c>
      <c r="E18" s="243">
        <v>0.0125</v>
      </c>
      <c r="F18" s="128">
        <v>10.423177083333336</v>
      </c>
      <c r="G18" s="128">
        <v>20.839843749999396</v>
      </c>
      <c r="H18" s="128">
        <v>10020.83984375</v>
      </c>
    </row>
    <row r="19">
      <c r="A19" s="122">
        <v>43101.0</v>
      </c>
      <c r="B19" s="128">
        <v>10010.416666666666</v>
      </c>
      <c r="C19" s="128">
        <v>10000.0</v>
      </c>
      <c r="D19" s="128">
        <v>0.0</v>
      </c>
      <c r="E19" s="243">
        <v>0.0125</v>
      </c>
      <c r="F19" s="128">
        <v>10.416666666666668</v>
      </c>
      <c r="G19" s="128">
        <v>10.42</v>
      </c>
      <c r="H19" s="128">
        <v>10010.416666666666</v>
      </c>
    </row>
    <row r="20">
      <c r="A20" s="122">
        <v>43070.0</v>
      </c>
      <c r="B20" s="128">
        <v>10000.0</v>
      </c>
      <c r="C20" s="128">
        <v>10000.0</v>
      </c>
      <c r="D20" s="128">
        <v>10000.0</v>
      </c>
      <c r="E20" s="243">
        <v>0.0125</v>
      </c>
      <c r="F20" s="128">
        <v>0.0</v>
      </c>
      <c r="G20" s="128">
        <v>0.0</v>
      </c>
      <c r="H20" s="128">
        <v>10000.0</v>
      </c>
    </row>
  </sheetData>
  <drawing r:id="rId2"/>
  <legacyDrawing r:id="rId3"/>
</worksheet>
</file>